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ccel/CCELWebSiteDocuments/"/>
    </mc:Choice>
  </mc:AlternateContent>
  <xr:revisionPtr revIDLastSave="8" documentId="8_{4EB20D02-B36F-42AD-96CC-A91744B41E84}" xr6:coauthVersionLast="47" xr6:coauthVersionMax="47" xr10:uidLastSave="{4D16F12A-7747-47E2-BD3E-E246D908BAF1}"/>
  <workbookProtection lockStructure="1"/>
  <bookViews>
    <workbookView xWindow="18360" yWindow="-14790" windowWidth="21600" windowHeight="11295" xr2:uid="{EA93B03D-E2EB-4D94-B7C1-B12D5F10F538}"/>
  </bookViews>
  <sheets>
    <sheet name="FFY26 PSoC Calculator" sheetId="4" r:id="rId1"/>
    <sheet name="PSoC Chart" sheetId="6" state="hidden" r:id="rId2"/>
    <sheet name="Scale Charts" sheetId="7" state="hidden" r:id="rId3"/>
    <sheet name="Income Charts" sheetId="8" state="hidden" r:id="rId4"/>
    <sheet name="Calculations" sheetId="2" state="hidden" r:id="rId5"/>
    <sheet name="SMI" sheetId="3" state="hidden" r:id="rId6"/>
  </sheets>
  <definedNames>
    <definedName name="_xlnm.Print_Area" localSheetId="1">'PSoC Chart'!$A$1:$K$97</definedName>
    <definedName name="SMIRan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6" l="1"/>
  <c r="I60" i="6"/>
  <c r="H60" i="6"/>
  <c r="G60" i="6"/>
  <c r="F60" i="6"/>
  <c r="E60" i="6"/>
  <c r="D60" i="6"/>
  <c r="C60" i="6"/>
  <c r="B60" i="6"/>
  <c r="J32" i="6"/>
  <c r="I32" i="6"/>
  <c r="H32" i="6"/>
  <c r="G32" i="6"/>
  <c r="F32" i="6"/>
  <c r="E32" i="6"/>
  <c r="D32" i="6"/>
  <c r="C32" i="6"/>
  <c r="B32" i="6"/>
  <c r="J15" i="6"/>
  <c r="I15" i="6"/>
  <c r="H15" i="6"/>
  <c r="G15" i="6"/>
  <c r="F15" i="6"/>
  <c r="E15" i="6"/>
  <c r="D15" i="6"/>
  <c r="C15" i="6"/>
  <c r="B15" i="6"/>
  <c r="J6" i="6"/>
  <c r="I6" i="6"/>
  <c r="H6" i="6"/>
  <c r="G6" i="6"/>
  <c r="F6" i="6"/>
  <c r="E6" i="6"/>
  <c r="D6" i="6"/>
  <c r="C6" i="6"/>
  <c r="B6" i="6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2" i="3"/>
  <c r="B3" i="2" l="1"/>
  <c r="B4" i="2" l="1"/>
  <c r="B2" i="2"/>
  <c r="B5" i="2" s="1"/>
  <c r="B6" i="2" l="1"/>
  <c r="A21" i="2"/>
  <c r="C4" i="2"/>
  <c r="D7" i="2" l="1"/>
  <c r="B6" i="4"/>
  <c r="B9" i="2" l="1"/>
  <c r="B12" i="4" s="1"/>
  <c r="E7" i="2"/>
  <c r="F7" i="2" s="1"/>
  <c r="B7" i="4"/>
  <c r="D10" i="2" l="1"/>
  <c r="B10" i="2" s="1"/>
  <c r="B7" i="2"/>
  <c r="B8" i="2" l="1"/>
  <c r="B9" i="4" s="1"/>
  <c r="D12" i="2"/>
  <c r="E12" i="2" s="1"/>
  <c r="B12" i="2" s="1"/>
  <c r="B10" i="4"/>
  <c r="B13" i="2" l="1"/>
  <c r="B11" i="2" s="1"/>
  <c r="B13" i="4" s="1"/>
  <c r="E10" i="2"/>
  <c r="F10" i="2" s="1"/>
  <c r="B14" i="4"/>
  <c r="B18" i="4"/>
  <c r="B16" i="4" l="1"/>
  <c r="B17" i="4" s="1"/>
  <c r="D19" i="6"/>
  <c r="F16" i="6"/>
  <c r="C19" i="6"/>
  <c r="D7" i="6"/>
  <c r="D8" i="6" s="1"/>
  <c r="B16" i="6"/>
  <c r="B10" i="6"/>
  <c r="G16" i="6"/>
  <c r="G17" i="6" s="1"/>
  <c r="T3" i="8"/>
  <c r="P3" i="8"/>
  <c r="H19" i="6"/>
  <c r="I10" i="6"/>
  <c r="S3" i="8"/>
  <c r="E16" i="6"/>
  <c r="I16" i="6"/>
  <c r="H7" i="6"/>
  <c r="H8" i="6" s="1"/>
  <c r="J16" i="6"/>
  <c r="J22" i="6" s="1"/>
  <c r="W2" i="8"/>
  <c r="U26" i="7"/>
  <c r="U44" i="8"/>
  <c r="P2" i="7"/>
  <c r="T2" i="8"/>
  <c r="R2" i="8"/>
  <c r="P23" i="8"/>
  <c r="G33" i="6"/>
  <c r="C33" i="6"/>
  <c r="R2" i="7"/>
  <c r="N2" i="7"/>
  <c r="E33" i="6"/>
  <c r="I33" i="6"/>
  <c r="B33" i="6"/>
  <c r="B34" i="6" s="1"/>
  <c r="J7" i="6" l="1"/>
  <c r="J8" i="6" s="1"/>
  <c r="W3" i="8"/>
  <c r="H64" i="6"/>
  <c r="F64" i="6"/>
  <c r="E64" i="6"/>
  <c r="V26" i="7"/>
  <c r="I64" i="6"/>
  <c r="J64" i="6"/>
  <c r="T44" i="8"/>
  <c r="C64" i="6"/>
  <c r="G64" i="6"/>
  <c r="D64" i="6"/>
  <c r="B64" i="6"/>
  <c r="T26" i="7"/>
  <c r="E19" i="6"/>
  <c r="O3" i="8"/>
  <c r="W44" i="8"/>
  <c r="P44" i="8"/>
  <c r="V2" i="7"/>
  <c r="W23" i="8"/>
  <c r="F19" i="6"/>
  <c r="T45" i="8"/>
  <c r="J19" i="6"/>
  <c r="C10" i="6"/>
  <c r="U23" i="8"/>
  <c r="Q2" i="7"/>
  <c r="T2" i="7"/>
  <c r="C7" i="6"/>
  <c r="C8" i="6" s="1"/>
  <c r="U2" i="8"/>
  <c r="G61" i="6"/>
  <c r="G77" i="6" s="1"/>
  <c r="G81" i="6" s="1"/>
  <c r="I7" i="6"/>
  <c r="I8" i="6" s="1"/>
  <c r="I9" i="6" s="1"/>
  <c r="I3" i="6" s="1"/>
  <c r="E61" i="6"/>
  <c r="E77" i="6" s="1"/>
  <c r="E81" i="6" s="1"/>
  <c r="H16" i="6"/>
  <c r="H22" i="6" s="1"/>
  <c r="D10" i="6"/>
  <c r="E44" i="6"/>
  <c r="E48" i="6" s="1"/>
  <c r="E39" i="6"/>
  <c r="E43" i="6" s="1"/>
  <c r="G7" i="6"/>
  <c r="G8" i="6" s="1"/>
  <c r="G9" i="6" s="1"/>
  <c r="G3" i="6" s="1"/>
  <c r="S45" i="8"/>
  <c r="F36" i="6"/>
  <c r="S44" i="8"/>
  <c r="V2" i="8"/>
  <c r="U3" i="8"/>
  <c r="B19" i="6"/>
  <c r="B7" i="6"/>
  <c r="B8" i="6" s="1"/>
  <c r="G44" i="6"/>
  <c r="G48" i="6" s="1"/>
  <c r="G39" i="6"/>
  <c r="G43" i="6" s="1"/>
  <c r="C39" i="6"/>
  <c r="C44" i="6"/>
  <c r="C48" i="6" s="1"/>
  <c r="H36" i="6"/>
  <c r="S2" i="8"/>
  <c r="H11" i="6"/>
  <c r="F33" i="6"/>
  <c r="F34" i="6" s="1"/>
  <c r="H10" i="6"/>
  <c r="D16" i="6"/>
  <c r="D36" i="6"/>
  <c r="G10" i="6"/>
  <c r="E36" i="6"/>
  <c r="B39" i="6"/>
  <c r="B41" i="6" s="1"/>
  <c r="B42" i="6" s="1"/>
  <c r="B40" i="6" s="1"/>
  <c r="B44" i="6"/>
  <c r="B48" i="6" s="1"/>
  <c r="C36" i="6"/>
  <c r="G36" i="6"/>
  <c r="J10" i="6"/>
  <c r="V23" i="8"/>
  <c r="J36" i="6"/>
  <c r="H33" i="6"/>
  <c r="I34" i="6"/>
  <c r="I39" i="6"/>
  <c r="I43" i="6" s="1"/>
  <c r="I44" i="6"/>
  <c r="I48" i="6" s="1"/>
  <c r="H9" i="6"/>
  <c r="H3" i="6" s="1"/>
  <c r="T27" i="7" s="1"/>
  <c r="B37" i="6"/>
  <c r="G22" i="6"/>
  <c r="G24" i="6" s="1"/>
  <c r="G25" i="6" s="1"/>
  <c r="B36" i="6"/>
  <c r="V44" i="8"/>
  <c r="R26" i="7"/>
  <c r="U2" i="7"/>
  <c r="S23" i="8"/>
  <c r="P45" i="8"/>
  <c r="D61" i="6"/>
  <c r="D77" i="6" s="1"/>
  <c r="D81" i="6" s="1"/>
  <c r="I36" i="6"/>
  <c r="B61" i="6"/>
  <c r="B77" i="6" s="1"/>
  <c r="B81" i="6" s="1"/>
  <c r="G18" i="6"/>
  <c r="G20" i="6"/>
  <c r="E17" i="6"/>
  <c r="E22" i="6"/>
  <c r="R3" i="8"/>
  <c r="E7" i="6"/>
  <c r="E8" i="6" s="1"/>
  <c r="R23" i="8"/>
  <c r="S26" i="7"/>
  <c r="N26" i="7"/>
  <c r="O23" i="8"/>
  <c r="E10" i="6"/>
  <c r="O2" i="8"/>
  <c r="D11" i="6"/>
  <c r="D9" i="6"/>
  <c r="D3" i="6" s="1"/>
  <c r="R44" i="8"/>
  <c r="Q3" i="8"/>
  <c r="V45" i="8"/>
  <c r="P2" i="8"/>
  <c r="I61" i="6"/>
  <c r="I77" i="6" s="1"/>
  <c r="I81" i="6" s="1"/>
  <c r="O2" i="7"/>
  <c r="Q26" i="7"/>
  <c r="T23" i="8"/>
  <c r="J17" i="6"/>
  <c r="O26" i="7"/>
  <c r="S2" i="7"/>
  <c r="G19" i="6"/>
  <c r="J33" i="6"/>
  <c r="W45" i="8"/>
  <c r="B22" i="6"/>
  <c r="B17" i="6"/>
  <c r="B35" i="6" s="1"/>
  <c r="E34" i="6"/>
  <c r="Q2" i="8"/>
  <c r="P26" i="7"/>
  <c r="Q23" i="8"/>
  <c r="I22" i="6"/>
  <c r="I17" i="6"/>
  <c r="R45" i="8"/>
  <c r="H61" i="6"/>
  <c r="H77" i="6" s="1"/>
  <c r="H81" i="6" s="1"/>
  <c r="Q44" i="8"/>
  <c r="O44" i="8"/>
  <c r="F7" i="6"/>
  <c r="F8" i="6" s="1"/>
  <c r="F10" i="6"/>
  <c r="O24" i="8" a="1"/>
  <c r="O24" i="8" s="1"/>
  <c r="C34" i="6"/>
  <c r="F17" i="6"/>
  <c r="F22" i="6"/>
  <c r="O45" i="8"/>
  <c r="D33" i="6"/>
  <c r="U45" i="8"/>
  <c r="C16" i="6"/>
  <c r="Q45" i="8"/>
  <c r="C61" i="6"/>
  <c r="C77" i="6" s="1"/>
  <c r="C81" i="6" s="1"/>
  <c r="I19" i="6"/>
  <c r="G34" i="6"/>
  <c r="V3" i="8"/>
  <c r="J61" i="6"/>
  <c r="J77" i="6" s="1"/>
  <c r="J81" i="6" s="1"/>
  <c r="F61" i="6"/>
  <c r="F77" i="6" s="1"/>
  <c r="F81" i="6" s="1"/>
  <c r="C11" i="6" l="1"/>
  <c r="C12" i="6" s="1"/>
  <c r="P4" i="8" s="1"/>
  <c r="C9" i="6"/>
  <c r="C3" i="6" s="1"/>
  <c r="T3" i="7"/>
  <c r="J9" i="6"/>
  <c r="J3" i="6" s="1"/>
  <c r="V3" i="7" s="1"/>
  <c r="J11" i="6"/>
  <c r="I11" i="6"/>
  <c r="I12" i="6" s="1"/>
  <c r="V4" i="8" s="1"/>
  <c r="F62" i="6"/>
  <c r="F79" i="6" s="1"/>
  <c r="F72" i="6"/>
  <c r="F76" i="6" s="1"/>
  <c r="F67" i="6"/>
  <c r="F71" i="6" s="1"/>
  <c r="J72" i="6"/>
  <c r="J76" i="6" s="1"/>
  <c r="J67" i="6"/>
  <c r="J71" i="6" s="1"/>
  <c r="J62" i="6"/>
  <c r="J79" i="6" s="1"/>
  <c r="I72" i="6"/>
  <c r="I76" i="6" s="1"/>
  <c r="I67" i="6"/>
  <c r="I71" i="6" s="1"/>
  <c r="I62" i="6"/>
  <c r="I79" i="6" s="1"/>
  <c r="B62" i="6"/>
  <c r="B72" i="6"/>
  <c r="B76" i="6" s="1"/>
  <c r="B67" i="6"/>
  <c r="B71" i="6" s="1"/>
  <c r="E67" i="6"/>
  <c r="E72" i="6"/>
  <c r="E76" i="6" s="1"/>
  <c r="E62" i="6"/>
  <c r="E79" i="6" s="1"/>
  <c r="C62" i="6"/>
  <c r="C79" i="6" s="1"/>
  <c r="C67" i="6"/>
  <c r="C71" i="6" s="1"/>
  <c r="C72" i="6"/>
  <c r="C76" i="6" s="1"/>
  <c r="D72" i="6"/>
  <c r="D76" i="6" s="1"/>
  <c r="D62" i="6"/>
  <c r="D79" i="6" s="1"/>
  <c r="D67" i="6"/>
  <c r="D71" i="6" s="1"/>
  <c r="G62" i="6"/>
  <c r="G79" i="6" s="1"/>
  <c r="G72" i="6"/>
  <c r="G76" i="6" s="1"/>
  <c r="G67" i="6"/>
  <c r="G71" i="6" s="1"/>
  <c r="H62" i="6"/>
  <c r="H79" i="6" s="1"/>
  <c r="H72" i="6"/>
  <c r="H76" i="6" s="1"/>
  <c r="H67" i="6"/>
  <c r="H71" i="6" s="1"/>
  <c r="G11" i="6"/>
  <c r="G12" i="6" s="1"/>
  <c r="T4" i="8" s="1"/>
  <c r="O27" i="7"/>
  <c r="H12" i="6"/>
  <c r="H13" i="6" s="1"/>
  <c r="H17" i="6"/>
  <c r="H18" i="6" s="1"/>
  <c r="D12" i="6"/>
  <c r="Q4" i="8" s="1"/>
  <c r="B38" i="6"/>
  <c r="U27" i="7"/>
  <c r="F35" i="6"/>
  <c r="F37" i="6"/>
  <c r="F38" i="6" s="1"/>
  <c r="J12" i="6"/>
  <c r="W4" i="8" s="1"/>
  <c r="B43" i="6"/>
  <c r="D39" i="6"/>
  <c r="D44" i="6"/>
  <c r="D48" i="6" s="1"/>
  <c r="G35" i="6"/>
  <c r="G37" i="6"/>
  <c r="G38" i="6" s="1"/>
  <c r="H39" i="6"/>
  <c r="H43" i="6" s="1"/>
  <c r="H44" i="6"/>
  <c r="H34" i="6"/>
  <c r="B46" i="6"/>
  <c r="J44" i="6"/>
  <c r="J39" i="6"/>
  <c r="J43" i="6" s="1"/>
  <c r="S3" i="7"/>
  <c r="C41" i="6"/>
  <c r="C42" i="6" s="1"/>
  <c r="G41" i="6"/>
  <c r="G42" i="6" s="1"/>
  <c r="I35" i="6"/>
  <c r="I37" i="6"/>
  <c r="I38" i="6" s="1"/>
  <c r="I41" i="6"/>
  <c r="I42" i="6" s="1"/>
  <c r="F44" i="6"/>
  <c r="F39" i="6"/>
  <c r="E37" i="6"/>
  <c r="E38" i="6" s="1"/>
  <c r="E35" i="6"/>
  <c r="B55" i="6"/>
  <c r="B56" i="6" s="1"/>
  <c r="C37" i="6"/>
  <c r="C38" i="6" s="1"/>
  <c r="C46" i="6"/>
  <c r="I46" i="6"/>
  <c r="D17" i="6"/>
  <c r="D22" i="6"/>
  <c r="G46" i="6"/>
  <c r="E41" i="6"/>
  <c r="E42" i="6" s="1"/>
  <c r="C43" i="6"/>
  <c r="B11" i="6"/>
  <c r="B12" i="6" s="1"/>
  <c r="B13" i="6" s="1"/>
  <c r="B9" i="6"/>
  <c r="B3" i="6" s="1"/>
  <c r="E46" i="6"/>
  <c r="B20" i="6"/>
  <c r="B21" i="6" s="1"/>
  <c r="B27" i="6" s="1"/>
  <c r="B18" i="6"/>
  <c r="B24" i="6"/>
  <c r="B25" i="6" s="1"/>
  <c r="B23" i="6" s="1"/>
  <c r="B4" i="6" s="1"/>
  <c r="I13" i="6"/>
  <c r="F9" i="6"/>
  <c r="F3" i="6" s="1"/>
  <c r="F11" i="6"/>
  <c r="F12" i="6" s="1"/>
  <c r="J18" i="6"/>
  <c r="J20" i="6"/>
  <c r="J21" i="6" s="1"/>
  <c r="J27" i="6" s="1"/>
  <c r="J24" i="6"/>
  <c r="J25" i="6" s="1"/>
  <c r="E9" i="6"/>
  <c r="E3" i="6" s="1"/>
  <c r="E11" i="6"/>
  <c r="E12" i="6" s="1"/>
  <c r="C22" i="6"/>
  <c r="C17" i="6"/>
  <c r="C35" i="6" s="1"/>
  <c r="D34" i="6"/>
  <c r="G21" i="6"/>
  <c r="G27" i="6" s="1"/>
  <c r="P27" i="7"/>
  <c r="P3" i="7"/>
  <c r="F18" i="6"/>
  <c r="F24" i="6"/>
  <c r="F25" i="6" s="1"/>
  <c r="F20" i="6"/>
  <c r="F21" i="6" s="1"/>
  <c r="F27" i="6" s="1"/>
  <c r="J34" i="6"/>
  <c r="E24" i="6"/>
  <c r="E25" i="6" s="1"/>
  <c r="E18" i="6"/>
  <c r="E20" i="6"/>
  <c r="E21" i="6" s="1"/>
  <c r="E27" i="6" s="1"/>
  <c r="I20" i="6"/>
  <c r="I21" i="6" s="1"/>
  <c r="I27" i="6" s="1"/>
  <c r="I24" i="6"/>
  <c r="I25" i="6" s="1"/>
  <c r="I18" i="6"/>
  <c r="G29" i="6"/>
  <c r="G23" i="6"/>
  <c r="S28" i="7"/>
  <c r="V27" i="7" l="1"/>
  <c r="U4" i="8"/>
  <c r="C13" i="6"/>
  <c r="B49" i="6"/>
  <c r="B50" i="6" s="1"/>
  <c r="G78" i="6"/>
  <c r="G80" i="6"/>
  <c r="B79" i="6"/>
  <c r="B74" i="6"/>
  <c r="B73" i="6" s="1"/>
  <c r="J80" i="6"/>
  <c r="J78" i="6"/>
  <c r="C78" i="6"/>
  <c r="C80" i="6"/>
  <c r="E78" i="6"/>
  <c r="E80" i="6"/>
  <c r="I78" i="6"/>
  <c r="I80" i="6"/>
  <c r="D78" i="6"/>
  <c r="D80" i="6"/>
  <c r="O3" i="7"/>
  <c r="H78" i="6"/>
  <c r="H80" i="6"/>
  <c r="F78" i="6"/>
  <c r="F80" i="6"/>
  <c r="G74" i="6"/>
  <c r="G69" i="6"/>
  <c r="G70" i="6" s="1"/>
  <c r="G65" i="6"/>
  <c r="G66" i="6" s="1"/>
  <c r="G86" i="6" s="1"/>
  <c r="G87" i="6" s="1"/>
  <c r="B65" i="6"/>
  <c r="B66" i="6" s="1"/>
  <c r="B69" i="6"/>
  <c r="B70" i="6" s="1"/>
  <c r="I74" i="6"/>
  <c r="I65" i="6"/>
  <c r="I66" i="6" s="1"/>
  <c r="I86" i="6" s="1"/>
  <c r="I87" i="6" s="1"/>
  <c r="I69" i="6"/>
  <c r="I70" i="6" s="1"/>
  <c r="D69" i="6"/>
  <c r="D70" i="6" s="1"/>
  <c r="D74" i="6"/>
  <c r="D65" i="6"/>
  <c r="D66" i="6" s="1"/>
  <c r="D86" i="6" s="1"/>
  <c r="D87" i="6" s="1"/>
  <c r="H24" i="6"/>
  <c r="H25" i="6" s="1"/>
  <c r="H23" i="6" s="1"/>
  <c r="J65" i="6"/>
  <c r="J66" i="6" s="1"/>
  <c r="J86" i="6" s="1"/>
  <c r="J87" i="6" s="1"/>
  <c r="J74" i="6"/>
  <c r="J63" i="6"/>
  <c r="J69" i="6"/>
  <c r="J70" i="6" s="1"/>
  <c r="J13" i="6"/>
  <c r="H20" i="6"/>
  <c r="H21" i="6" s="1"/>
  <c r="H27" i="6" s="1"/>
  <c r="H28" i="6" s="1"/>
  <c r="C69" i="6"/>
  <c r="C70" i="6" s="1"/>
  <c r="C74" i="6"/>
  <c r="C65" i="6"/>
  <c r="C66" i="6" s="1"/>
  <c r="C86" i="6" s="1"/>
  <c r="C87" i="6" s="1"/>
  <c r="E74" i="6"/>
  <c r="E65" i="6"/>
  <c r="E66" i="6" s="1"/>
  <c r="H74" i="6"/>
  <c r="H65" i="6"/>
  <c r="H66" i="6" s="1"/>
  <c r="H86" i="6" s="1"/>
  <c r="H87" i="6" s="1"/>
  <c r="H69" i="6"/>
  <c r="H70" i="6" s="1"/>
  <c r="E69" i="6"/>
  <c r="E70" i="6" s="1"/>
  <c r="E71" i="6"/>
  <c r="F74" i="6"/>
  <c r="F65" i="6"/>
  <c r="F66" i="6" s="1"/>
  <c r="F86" i="6" s="1"/>
  <c r="F87" i="6" s="1"/>
  <c r="F69" i="6"/>
  <c r="F70" i="6" s="1"/>
  <c r="U3" i="7"/>
  <c r="B53" i="6"/>
  <c r="B54" i="6" s="1"/>
  <c r="B51" i="6"/>
  <c r="B52" i="6" s="1"/>
  <c r="G13" i="6"/>
  <c r="D13" i="6"/>
  <c r="G51" i="6"/>
  <c r="G52" i="6" s="1"/>
  <c r="G53" i="6"/>
  <c r="G54" i="6" s="1"/>
  <c r="G49" i="6"/>
  <c r="G50" i="6" s="1"/>
  <c r="E53" i="6"/>
  <c r="E54" i="6" s="1"/>
  <c r="E49" i="6"/>
  <c r="E50" i="6" s="1"/>
  <c r="E51" i="6"/>
  <c r="E52" i="6" s="1"/>
  <c r="C45" i="6"/>
  <c r="C63" i="6" s="1"/>
  <c r="C47" i="6"/>
  <c r="C57" i="6" s="1"/>
  <c r="C58" i="6" s="1"/>
  <c r="H35" i="6"/>
  <c r="H37" i="6"/>
  <c r="H38" i="6" s="1"/>
  <c r="H41" i="6"/>
  <c r="H42" i="6" s="1"/>
  <c r="O4" i="8"/>
  <c r="C51" i="6"/>
  <c r="C52" i="6" s="1"/>
  <c r="C49" i="6"/>
  <c r="C50" i="6" s="1"/>
  <c r="C53" i="6"/>
  <c r="C54" i="6" s="1"/>
  <c r="C40" i="6"/>
  <c r="C55" i="6"/>
  <c r="C56" i="6" s="1"/>
  <c r="H46" i="6"/>
  <c r="H48" i="6"/>
  <c r="F53" i="6"/>
  <c r="F54" i="6" s="1"/>
  <c r="F41" i="6"/>
  <c r="F42" i="6" s="1"/>
  <c r="F43" i="6"/>
  <c r="S27" i="7"/>
  <c r="I51" i="6"/>
  <c r="I52" i="6" s="1"/>
  <c r="I53" i="6"/>
  <c r="I54" i="6" s="1"/>
  <c r="I49" i="6"/>
  <c r="I50" i="6" s="1"/>
  <c r="E55" i="6"/>
  <c r="E56" i="6" s="1"/>
  <c r="E40" i="6"/>
  <c r="J35" i="6"/>
  <c r="J37" i="6"/>
  <c r="J38" i="6" s="1"/>
  <c r="J41" i="6"/>
  <c r="J42" i="6" s="1"/>
  <c r="D37" i="6"/>
  <c r="D38" i="6" s="1"/>
  <c r="D46" i="6"/>
  <c r="D35" i="6"/>
  <c r="I47" i="6"/>
  <c r="I57" i="6" s="1"/>
  <c r="I58" i="6" s="1"/>
  <c r="I45" i="6"/>
  <c r="I63" i="6" s="1"/>
  <c r="E45" i="6"/>
  <c r="E63" i="6" s="1"/>
  <c r="E47" i="6"/>
  <c r="E57" i="6" s="1"/>
  <c r="E58" i="6" s="1"/>
  <c r="G45" i="6"/>
  <c r="G63" i="6" s="1"/>
  <c r="G47" i="6"/>
  <c r="G57" i="6" s="1"/>
  <c r="G58" i="6" s="1"/>
  <c r="D41" i="6"/>
  <c r="D42" i="6" s="1"/>
  <c r="D43" i="6"/>
  <c r="D20" i="6"/>
  <c r="D21" i="6" s="1"/>
  <c r="D27" i="6" s="1"/>
  <c r="D18" i="6"/>
  <c r="D24" i="6"/>
  <c r="D25" i="6" s="1"/>
  <c r="F46" i="6"/>
  <c r="F48" i="6"/>
  <c r="I55" i="6"/>
  <c r="I56" i="6" s="1"/>
  <c r="I40" i="6"/>
  <c r="J46" i="6"/>
  <c r="J48" i="6"/>
  <c r="N27" i="7"/>
  <c r="N3" i="7"/>
  <c r="G55" i="6"/>
  <c r="G56" i="6" s="1"/>
  <c r="G40" i="6"/>
  <c r="B45" i="6"/>
  <c r="B63" i="6" s="1"/>
  <c r="B47" i="6"/>
  <c r="B57" i="6" s="1"/>
  <c r="B58" i="6" s="1"/>
  <c r="S4" i="8"/>
  <c r="F13" i="6"/>
  <c r="O47" i="8"/>
  <c r="N28" i="7"/>
  <c r="B29" i="6"/>
  <c r="W25" i="8"/>
  <c r="J28" i="6"/>
  <c r="G4" i="6"/>
  <c r="S4" i="7" s="1"/>
  <c r="G26" i="6"/>
  <c r="T26" i="8"/>
  <c r="G30" i="6"/>
  <c r="E23" i="6"/>
  <c r="E29" i="6"/>
  <c r="Q28" i="7"/>
  <c r="J23" i="6"/>
  <c r="V28" i="7"/>
  <c r="J29" i="6"/>
  <c r="F28" i="6"/>
  <c r="S25" i="8"/>
  <c r="F23" i="6"/>
  <c r="F29" i="6"/>
  <c r="R28" i="7"/>
  <c r="C18" i="6"/>
  <c r="C20" i="6"/>
  <c r="C21" i="6" s="1"/>
  <c r="C27" i="6" s="1"/>
  <c r="C24" i="6"/>
  <c r="C25" i="6" s="1"/>
  <c r="C23" i="6" s="1"/>
  <c r="C4" i="6" s="1"/>
  <c r="E28" i="6"/>
  <c r="R25" i="8"/>
  <c r="R27" i="7"/>
  <c r="R3" i="7"/>
  <c r="I23" i="6"/>
  <c r="U28" i="7"/>
  <c r="I29" i="6"/>
  <c r="G28" i="6"/>
  <c r="T25" i="8"/>
  <c r="Q27" i="7"/>
  <c r="Q3" i="7"/>
  <c r="O25" i="8"/>
  <c r="B28" i="6"/>
  <c r="V25" i="8"/>
  <c r="I28" i="6"/>
  <c r="R4" i="8"/>
  <c r="E13" i="6"/>
  <c r="H29" i="6" l="1"/>
  <c r="H30" i="6" s="1"/>
  <c r="T28" i="7"/>
  <c r="O46" i="8"/>
  <c r="C94" i="6"/>
  <c r="C95" i="6" s="1"/>
  <c r="O30" i="7"/>
  <c r="F94" i="6"/>
  <c r="F95" i="6" s="1"/>
  <c r="R30" i="7"/>
  <c r="H94" i="6"/>
  <c r="H95" i="6" s="1"/>
  <c r="T30" i="7"/>
  <c r="J94" i="6"/>
  <c r="J95" i="6" s="1"/>
  <c r="V30" i="7"/>
  <c r="E94" i="6"/>
  <c r="E95" i="6" s="1"/>
  <c r="Q30" i="7"/>
  <c r="D94" i="6"/>
  <c r="D95" i="6" s="1"/>
  <c r="P30" i="7"/>
  <c r="G94" i="6"/>
  <c r="G95" i="6" s="1"/>
  <c r="S30" i="7"/>
  <c r="I94" i="6"/>
  <c r="I95" i="6" s="1"/>
  <c r="U30" i="7"/>
  <c r="E86" i="6"/>
  <c r="E87" i="6" s="1"/>
  <c r="U25" i="8"/>
  <c r="B86" i="6"/>
  <c r="B87" i="6" s="1"/>
  <c r="B84" i="6"/>
  <c r="B85" i="6" s="1"/>
  <c r="B80" i="6"/>
  <c r="B78" i="6"/>
  <c r="E82" i="6"/>
  <c r="E83" i="6" s="1"/>
  <c r="C68" i="6"/>
  <c r="C90" i="6"/>
  <c r="C91" i="6" s="1"/>
  <c r="E68" i="6"/>
  <c r="E90" i="6"/>
  <c r="E91" i="6" s="1"/>
  <c r="I68" i="6"/>
  <c r="I90" i="6"/>
  <c r="I91" i="6" s="1"/>
  <c r="I88" i="6"/>
  <c r="I89" i="6" s="1"/>
  <c r="I84" i="6"/>
  <c r="I85" i="6" s="1"/>
  <c r="I82" i="6"/>
  <c r="I83" i="6" s="1"/>
  <c r="H68" i="6"/>
  <c r="H90" i="6"/>
  <c r="H91" i="6" s="1"/>
  <c r="J68" i="6"/>
  <c r="J90" i="6"/>
  <c r="J91" i="6" s="1"/>
  <c r="I73" i="6"/>
  <c r="I75" i="6"/>
  <c r="I92" i="6" s="1"/>
  <c r="I93" i="6" s="1"/>
  <c r="H88" i="6"/>
  <c r="H89" i="6" s="1"/>
  <c r="H84" i="6"/>
  <c r="H85" i="6" s="1"/>
  <c r="H82" i="6"/>
  <c r="H83" i="6" s="1"/>
  <c r="B68" i="6"/>
  <c r="B90" i="6"/>
  <c r="B91" i="6" s="1"/>
  <c r="H75" i="6"/>
  <c r="H92" i="6" s="1"/>
  <c r="H93" i="6" s="1"/>
  <c r="H73" i="6"/>
  <c r="J75" i="6"/>
  <c r="J92" i="6" s="1"/>
  <c r="J93" i="6" s="1"/>
  <c r="J73" i="6"/>
  <c r="B88" i="6"/>
  <c r="B89" i="6" s="1"/>
  <c r="B82" i="6"/>
  <c r="B83" i="6" s="1"/>
  <c r="J82" i="6"/>
  <c r="J83" i="6" s="1"/>
  <c r="J84" i="6"/>
  <c r="J85" i="6" s="1"/>
  <c r="J88" i="6"/>
  <c r="J89" i="6" s="1"/>
  <c r="E88" i="6"/>
  <c r="E89" i="6" s="1"/>
  <c r="E84" i="6"/>
  <c r="E85" i="6" s="1"/>
  <c r="B75" i="6"/>
  <c r="F68" i="6"/>
  <c r="F90" i="6"/>
  <c r="F91" i="6" s="1"/>
  <c r="E73" i="6"/>
  <c r="E75" i="6"/>
  <c r="E92" i="6" s="1"/>
  <c r="E93" i="6" s="1"/>
  <c r="D82" i="6"/>
  <c r="D83" i="6" s="1"/>
  <c r="D84" i="6"/>
  <c r="D85" i="6" s="1"/>
  <c r="D88" i="6"/>
  <c r="D89" i="6" s="1"/>
  <c r="G88" i="6"/>
  <c r="G89" i="6" s="1"/>
  <c r="G82" i="6"/>
  <c r="G83" i="6" s="1"/>
  <c r="G84" i="6"/>
  <c r="G85" i="6" s="1"/>
  <c r="C84" i="6"/>
  <c r="C85" i="6" s="1"/>
  <c r="C88" i="6"/>
  <c r="C89" i="6" s="1"/>
  <c r="C82" i="6"/>
  <c r="C83" i="6" s="1"/>
  <c r="D73" i="6"/>
  <c r="D75" i="6"/>
  <c r="D92" i="6" s="1"/>
  <c r="D93" i="6" s="1"/>
  <c r="F88" i="6"/>
  <c r="F89" i="6" s="1"/>
  <c r="F82" i="6"/>
  <c r="F83" i="6" s="1"/>
  <c r="F84" i="6"/>
  <c r="F85" i="6" s="1"/>
  <c r="C73" i="6"/>
  <c r="C75" i="6"/>
  <c r="C92" i="6" s="1"/>
  <c r="C93" i="6" s="1"/>
  <c r="G68" i="6"/>
  <c r="G90" i="6"/>
  <c r="G91" i="6" s="1"/>
  <c r="F73" i="6"/>
  <c r="F75" i="6"/>
  <c r="F92" i="6" s="1"/>
  <c r="F93" i="6" s="1"/>
  <c r="D68" i="6"/>
  <c r="D90" i="6"/>
  <c r="D91" i="6" s="1"/>
  <c r="G75" i="6"/>
  <c r="G92" i="6" s="1"/>
  <c r="G93" i="6" s="1"/>
  <c r="G73" i="6"/>
  <c r="U29" i="7"/>
  <c r="N29" i="7"/>
  <c r="V46" i="8"/>
  <c r="F51" i="6"/>
  <c r="F52" i="6" s="1"/>
  <c r="H55" i="6"/>
  <c r="H40" i="6"/>
  <c r="F49" i="6"/>
  <c r="F50" i="6" s="1"/>
  <c r="J55" i="6"/>
  <c r="J56" i="6" s="1"/>
  <c r="J40" i="6"/>
  <c r="J51" i="6"/>
  <c r="J52" i="6" s="1"/>
  <c r="J49" i="6"/>
  <c r="J50" i="6" s="1"/>
  <c r="J53" i="6"/>
  <c r="J54" i="6" s="1"/>
  <c r="H51" i="6"/>
  <c r="H52" i="6" s="1"/>
  <c r="H53" i="6"/>
  <c r="H49" i="6"/>
  <c r="H50" i="6" s="1"/>
  <c r="P28" i="7"/>
  <c r="D29" i="6"/>
  <c r="D23" i="6"/>
  <c r="D45" i="6"/>
  <c r="D63" i="6" s="1"/>
  <c r="D47" i="6"/>
  <c r="D57" i="6" s="1"/>
  <c r="D58" i="6" s="1"/>
  <c r="H26" i="6"/>
  <c r="H4" i="6"/>
  <c r="T4" i="7" s="1"/>
  <c r="D51" i="6"/>
  <c r="D52" i="6" s="1"/>
  <c r="D53" i="6"/>
  <c r="D54" i="6" s="1"/>
  <c r="D49" i="6"/>
  <c r="D50" i="6" s="1"/>
  <c r="D40" i="6"/>
  <c r="D55" i="6"/>
  <c r="D56" i="6" s="1"/>
  <c r="J47" i="6"/>
  <c r="J57" i="6" s="1"/>
  <c r="J58" i="6" s="1"/>
  <c r="J45" i="6"/>
  <c r="F55" i="6"/>
  <c r="F56" i="6" s="1"/>
  <c r="F40" i="6"/>
  <c r="F45" i="6"/>
  <c r="F63" i="6" s="1"/>
  <c r="F47" i="6"/>
  <c r="F57" i="6" s="1"/>
  <c r="F58" i="6" s="1"/>
  <c r="H47" i="6"/>
  <c r="H45" i="6"/>
  <c r="H63" i="6" s="1"/>
  <c r="D28" i="6"/>
  <c r="Q25" i="8"/>
  <c r="R46" i="8"/>
  <c r="O26" i="8"/>
  <c r="B30" i="6"/>
  <c r="P47" i="8"/>
  <c r="R47" i="8"/>
  <c r="P25" i="8"/>
  <c r="C28" i="6"/>
  <c r="N4" i="7"/>
  <c r="B26" i="6"/>
  <c r="S46" i="8"/>
  <c r="P46" i="8"/>
  <c r="S26" i="8"/>
  <c r="F30" i="6"/>
  <c r="F4" i="6"/>
  <c r="R4" i="7" s="1"/>
  <c r="F26" i="6"/>
  <c r="Q29" i="7"/>
  <c r="T47" i="8"/>
  <c r="I4" i="6"/>
  <c r="U4" i="7" s="1"/>
  <c r="I26" i="6"/>
  <c r="R26" i="8"/>
  <c r="E30" i="6"/>
  <c r="O29" i="7"/>
  <c r="W26" i="8"/>
  <c r="J30" i="6"/>
  <c r="J26" i="6"/>
  <c r="J4" i="6"/>
  <c r="V4" i="7" s="1"/>
  <c r="V48" i="8"/>
  <c r="O48" i="8"/>
  <c r="V26" i="8"/>
  <c r="I30" i="6"/>
  <c r="C29" i="6"/>
  <c r="O28" i="7"/>
  <c r="T46" i="8"/>
  <c r="E26" i="6"/>
  <c r="E4" i="6"/>
  <c r="Q4" i="7" s="1"/>
  <c r="V47" i="8"/>
  <c r="S29" i="7"/>
  <c r="U26" i="8" l="1"/>
  <c r="B94" i="6"/>
  <c r="B95" i="6" s="1"/>
  <c r="N30" i="7"/>
  <c r="B92" i="6"/>
  <c r="B93" i="6" s="1"/>
  <c r="R29" i="7"/>
  <c r="S47" i="8"/>
  <c r="H54" i="6"/>
  <c r="U46" i="8"/>
  <c r="D4" i="6"/>
  <c r="P4" i="7" s="1"/>
  <c r="D26" i="6"/>
  <c r="H57" i="6"/>
  <c r="T29" i="7"/>
  <c r="Q26" i="8"/>
  <c r="D30" i="6"/>
  <c r="H56" i="6"/>
  <c r="U47" i="8"/>
  <c r="P29" i="7"/>
  <c r="T48" i="8"/>
  <c r="W46" i="8"/>
  <c r="P48" i="8"/>
  <c r="Q46" i="8"/>
  <c r="W47" i="8"/>
  <c r="S48" i="8"/>
  <c r="V29" i="7"/>
  <c r="Q47" i="8"/>
  <c r="O4" i="7"/>
  <c r="C26" i="6"/>
  <c r="R48" i="8"/>
  <c r="C30" i="6"/>
  <c r="P26" i="8"/>
  <c r="H58" i="6" l="1"/>
  <c r="U48" i="8"/>
  <c r="W48" i="8"/>
  <c r="Q4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<sst xmlns="http://schemas.openxmlformats.org/spreadsheetml/2006/main" count="171" uniqueCount="112">
  <si>
    <t>More Information</t>
  </si>
  <si>
    <t>1. Enter Household Family Size (Required)</t>
  </si>
  <si>
    <t>What is the definition of Family Size and Household Dependents: §809.2(12)-(13)</t>
  </si>
  <si>
    <t>2. Enter Monthly Income (Required)</t>
  </si>
  <si>
    <t>What income is excluded from family income: §809.44</t>
  </si>
  <si>
    <t>3. Enter Children Receiving Child Care (Required)</t>
  </si>
  <si>
    <t>Number of children receiving care must be less than the family size</t>
  </si>
  <si>
    <t>Percent State Median Income (SMI)</t>
  </si>
  <si>
    <t>Cannot be greater than 85% to be eligible: §809.41</t>
  </si>
  <si>
    <t>Is the Family Eligible?</t>
  </si>
  <si>
    <t xml:space="preserve">PSoC Percent of Income for One Child </t>
  </si>
  <si>
    <t>Cannot be greater than 7% of family income: §809.19</t>
  </si>
  <si>
    <t>Additional Children in Care</t>
  </si>
  <si>
    <t>PSoC Percent of Income for Additional Children</t>
  </si>
  <si>
    <t>Total Monthly PSoC Amount (Est.)</t>
  </si>
  <si>
    <t>Total Weekly PSoC Amount (Est.)</t>
  </si>
  <si>
    <t>Total PSoC as a Percent of Income</t>
  </si>
  <si>
    <t>% State Median Income (SMI)</t>
  </si>
  <si>
    <t>Monthly Income</t>
  </si>
  <si>
    <t>% SMI (Calculation)</t>
  </si>
  <si>
    <t>Monthly PSoC - 2nd Child</t>
  </si>
  <si>
    <t>Use the PSoC Calculator to calculate the PSoC amount for your family size, monthly income and the number of children in care.</t>
  </si>
  <si>
    <t>PARENT SHARE OF COST CALCULATOR</t>
  </si>
  <si>
    <t>Calculations</t>
  </si>
  <si>
    <t>Notes</t>
  </si>
  <si>
    <t>Enter Family Size</t>
  </si>
  <si>
    <t>1. Enter Family Size</t>
  </si>
  <si>
    <t>Enter Monthly Income</t>
  </si>
  <si>
    <t>2. Enter Monthly Income</t>
  </si>
  <si>
    <t>Enter Children In Care</t>
  </si>
  <si>
    <t>3. Enter Children Receiving CCS (must be less than the family size)</t>
  </si>
  <si>
    <t>% SMI</t>
  </si>
  <si>
    <t>4. % SMI for family size and income</t>
  </si>
  <si>
    <t>Family Eligible</t>
  </si>
  <si>
    <t>5. Not eligible if % SMI is greater than 85%</t>
  </si>
  <si>
    <t>PSoC% - 1 Child</t>
  </si>
  <si>
    <t xml:space="preserve">6. If eligible (B6) and income is less than 1% SMI (B8), D7: % SMI minus 1 to get 1% to 0, multiply result by .066%, add 2 percentage points to start scale at 2% of income.E2: if B6 is not eligible, result is null; if eligible, result is D7 calculation; F7: if D7 result is greater than 7%, cap result at 7% of income </t>
  </si>
  <si>
    <t>PSoC - 1 Child</t>
  </si>
  <si>
    <t>7. If eligible (B6), multiply monthly income (B3) by PSoC % income result for the first child (B7), rounded to nearest $</t>
  </si>
  <si>
    <t>Add'l Children</t>
  </si>
  <si>
    <t>8. If eligible (B6), additional children = children in care minus the first child</t>
  </si>
  <si>
    <t>PSoC% Add'l Children</t>
  </si>
  <si>
    <t>9. If eligible (B6), perform calcuation at D10. D10: if % for 1 child is 7%, then no additional amount; if less than 7%, then multiply % SMI (B5) by 1.5% for addt'l child, multiply result by the total number of additional children (B9).  E10: Yes, if total PSoC% (B7+B10) is greater than 7%, No, if less than 7%. F10: if total PSoC% is less than 7%, then result is the additional child calculation at D10</t>
  </si>
  <si>
    <t>PSoC - Add'l Children</t>
  </si>
  <si>
    <t>12. If eligible (B6), subtract the PSoC amount for 1 child (B8) from the total PSoC (B13) to get the amount for additional children</t>
  </si>
  <si>
    <t>Total PSoC %</t>
  </si>
  <si>
    <t>10. If elgibile (B6), D12: add PSoC % for 1 child (B7) , plus the PSoC % for additional children (B10) to get the total PSoC%; E12: if total PSoC% (D12) is greater than 7%, cap the % at 7%.</t>
  </si>
  <si>
    <t>TOTAL PSOC</t>
  </si>
  <si>
    <t>11. If eligible (B6), multiply the total PSoC % (B12) by monthly income (B3) to get the total PSoC amount</t>
  </si>
  <si>
    <t>Family Size</t>
  </si>
  <si>
    <t>100% SMI per Family Size</t>
  </si>
  <si>
    <t>PSoC Monthly Amount for One Child in Care (Est.)</t>
  </si>
  <si>
    <t>PSoC Monthly Amount for the Additional Children (Est.)</t>
  </si>
  <si>
    <t>PSoC as a % of Income - 1 Child</t>
  </si>
  <si>
    <t>% Add-on for Each Additional Child</t>
  </si>
  <si>
    <t>Family Size of 2</t>
  </si>
  <si>
    <t>Family Size of 3</t>
  </si>
  <si>
    <t>1st Child</t>
  </si>
  <si>
    <t>% Add-on Each Add'l Child</t>
  </si>
  <si>
    <t>SMI</t>
  </si>
  <si>
    <t>1 Child</t>
  </si>
  <si>
    <t>2 Children</t>
  </si>
  <si>
    <t>3 Children</t>
  </si>
  <si>
    <t>4 Children</t>
  </si>
  <si>
    <t>Monthly PSoC - 1 Child</t>
  </si>
  <si>
    <t>Montly Income</t>
  </si>
  <si>
    <t>Monthly PSoC - 2 Children</t>
  </si>
  <si>
    <t xml:space="preserve">% SMI </t>
  </si>
  <si>
    <t xml:space="preserve">PSoC % of Income No Cap </t>
  </si>
  <si>
    <t xml:space="preserve">PSoC 7% Cap </t>
  </si>
  <si>
    <t>PSoC % Income - 2nd Child 7% Cap</t>
  </si>
  <si>
    <t>PSoC - 1st Child No Cap</t>
  </si>
  <si>
    <t xml:space="preserve">PSoC </t>
  </si>
  <si>
    <t>PSoC - 1st Child Cap</t>
  </si>
  <si>
    <t>PSoC % of Income No Cap</t>
  </si>
  <si>
    <t>PSoC 7% Cap</t>
  </si>
  <si>
    <t>PSoC % of Income</t>
  </si>
  <si>
    <t>Total PSoC 7% Cap (2 Child)</t>
  </si>
  <si>
    <t>Total PSoC 7% Cap (3 Child)</t>
  </si>
  <si>
    <t>PSoC % of Income-2nd Child No Cap</t>
  </si>
  <si>
    <t>PSoC % Income - 3rd Child No Cap</t>
  </si>
  <si>
    <t>PSoC % Income - 3rd Child 7% Cap</t>
  </si>
  <si>
    <t>Total PSoC % of Income No Cap (2 Child)</t>
  </si>
  <si>
    <t>Total PSoC % of Income No Cap (3 Child)</t>
  </si>
  <si>
    <t>PSoC No Cap (2nd Child)</t>
  </si>
  <si>
    <t>Monthly PSoC - 2 Child No Cap</t>
  </si>
  <si>
    <t>Monthly PSoC - 2 Child 7% Cap</t>
  </si>
  <si>
    <t>Monthly PSoC - 3 Child No Cap</t>
  </si>
  <si>
    <t>PSoC No Cap (3rd Child)</t>
  </si>
  <si>
    <t>Monthly PSoC - 3 Child Cap</t>
  </si>
  <si>
    <t>Weekly PSoC - 1 Child</t>
  </si>
  <si>
    <t>Weekly PSoC - 2 Children</t>
  </si>
  <si>
    <t>Monthly PSoC - 3 Children</t>
  </si>
  <si>
    <t>Weekly PSoC - 3 Children</t>
  </si>
  <si>
    <t>PSoC % of Income -2nd Child No Cap</t>
  </si>
  <si>
    <t>Family Size of 4</t>
  </si>
  <si>
    <t>PSoC % Income - 4th Child No Cap</t>
  </si>
  <si>
    <t>PSoC % Income - 4th Child 7% Cap</t>
  </si>
  <si>
    <t>Total PSoC % of Income No Cap (4 Child)</t>
  </si>
  <si>
    <t>Total PSoC 7% Cap (4 Child)</t>
  </si>
  <si>
    <t>PSoC No Cap (4th Child)</t>
  </si>
  <si>
    <t>Monthly PSoC - 4 Child Cap</t>
  </si>
  <si>
    <t>Monthly PSoC - 4 Child No Cap</t>
  </si>
  <si>
    <t>Monthly PSoC - 4 Children</t>
  </si>
  <si>
    <t>Weekly PSoC - 4 Children</t>
  </si>
  <si>
    <t>100% Annual</t>
  </si>
  <si>
    <t>Parent Share of Cost (PSoC) Sliding Fee Scale (BCY2026)</t>
  </si>
  <si>
    <t>PARENT SHARE OF COST (PSOC) ESTIMATION CALCULATOR (BCY2026)</t>
  </si>
  <si>
    <t>FAMILY SIZE 2:</t>
  </si>
  <si>
    <t>FAMILY SIZE 3:</t>
  </si>
  <si>
    <t>FAMILY SIZE 4:</t>
  </si>
  <si>
    <t>FAMILY SIZE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</si>
</sst>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&quot;$&quot;* #,##0_);_(&quot;$&quot;* \(#,##0\);_(&quot;$&quot;* &quot;-&quot;??_);_(@_)"/>
    <numFmt numFmtId="166" formatCode="0.0000%"/>
    <numFmt numFmtId="167" formatCode="0.000%"/>
    <numFmt numFmtId="168" formatCode="&quot;$&quot;#,##0"/>
    <numFmt numFmtId="169" formatCode="&quot;$&quot;#,##0.00"/>
    <numFmt numFmtId="170" formatCode="0.000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Protection="1">
      <protection locked="0"/>
    </xf>
    <xf numFmtId="10" fontId="0" fillId="0" borderId="0" xfId="2" applyNumberFormat="1" applyFont="1" applyProtection="1">
      <protection locked="0"/>
    </xf>
    <xf numFmtId="0" fontId="2" fillId="0" borderId="0" xfId="0" applyFont="1" applyProtection="1"/>
    <xf numFmtId="0" fontId="0" fillId="0" borderId="0" xfId="0" applyProtection="1"/>
    <xf numFmtId="2" fontId="0" fillId="0" borderId="0" xfId="0" applyNumberFormat="1" applyProtection="1"/>
    <xf numFmtId="10" fontId="0" fillId="0" borderId="0" xfId="0" applyNumberFormat="1" applyProtection="1"/>
    <xf numFmtId="44" fontId="0" fillId="0" borderId="0" xfId="0" applyNumberFormat="1" applyProtection="1"/>
    <xf numFmtId="164" fontId="0" fillId="0" borderId="0" xfId="0" quotePrefix="1" applyNumberFormat="1" applyProtection="1"/>
    <xf numFmtId="0" fontId="0" fillId="0" borderId="0" xfId="0" quotePrefix="1" applyProtection="1"/>
    <xf numFmtId="166" fontId="0" fillId="0" borderId="0" xfId="2" applyNumberFormat="1" applyFont="1" applyProtection="1">
      <protection locked="0"/>
    </xf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right" vertical="center"/>
      <protection locked="0"/>
    </xf>
    <xf numFmtId="165" fontId="5" fillId="4" borderId="8" xfId="1" applyNumberFormat="1" applyFont="1" applyFill="1" applyBorder="1" applyAlignment="1" applyProtection="1">
      <alignment horizontal="right" vertical="center"/>
      <protection locked="0"/>
    </xf>
    <xf numFmtId="0" fontId="5" fillId="4" borderId="9" xfId="0" applyFont="1" applyFill="1" applyBorder="1" applyAlignment="1" applyProtection="1">
      <alignment horizontal="right" vertical="center"/>
      <protection locked="0"/>
    </xf>
    <xf numFmtId="10" fontId="5" fillId="0" borderId="7" xfId="2" applyNumberFormat="1" applyFont="1" applyBorder="1" applyAlignment="1" applyProtection="1">
      <alignment horizontal="right" vertical="center"/>
    </xf>
    <xf numFmtId="44" fontId="5" fillId="3" borderId="7" xfId="1" applyFont="1" applyFill="1" applyBorder="1" applyAlignment="1" applyProtection="1">
      <alignment horizontal="right" vertical="center"/>
    </xf>
    <xf numFmtId="10" fontId="5" fillId="0" borderId="9" xfId="2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44" fontId="5" fillId="3" borderId="8" xfId="0" applyNumberFormat="1" applyFont="1" applyFill="1" applyBorder="1" applyAlignment="1" applyProtection="1">
      <alignment horizontal="right" vertical="center"/>
    </xf>
    <xf numFmtId="44" fontId="5" fillId="0" borderId="0" xfId="0" applyNumberFormat="1" applyFont="1" applyFill="1" applyBorder="1" applyAlignment="1" applyProtection="1">
      <alignment horizontal="right" vertical="center"/>
    </xf>
    <xf numFmtId="44" fontId="5" fillId="2" borderId="7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8" fillId="0" borderId="1" xfId="3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10" fontId="5" fillId="0" borderId="0" xfId="2" applyNumberFormat="1" applyFont="1" applyProtection="1"/>
    <xf numFmtId="166" fontId="5" fillId="0" borderId="0" xfId="2" applyNumberFormat="1" applyFont="1" applyProtection="1"/>
    <xf numFmtId="10" fontId="5" fillId="0" borderId="0" xfId="2" applyNumberFormat="1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0" xfId="0" applyFill="1" applyBorder="1" applyProtection="1">
      <protection locked="0"/>
    </xf>
    <xf numFmtId="167" fontId="0" fillId="0" borderId="0" xfId="2" applyNumberFormat="1" applyFont="1" applyFill="1" applyBorder="1" applyProtection="1"/>
    <xf numFmtId="0" fontId="0" fillId="0" borderId="0" xfId="0" applyFill="1" applyBorder="1" applyAlignment="1" applyProtection="1">
      <alignment horizontal="right"/>
    </xf>
    <xf numFmtId="10" fontId="0" fillId="0" borderId="0" xfId="2" applyNumberFormat="1" applyFont="1" applyFill="1" applyBorder="1" applyProtection="1"/>
    <xf numFmtId="44" fontId="0" fillId="0" borderId="0" xfId="1" applyFont="1" applyFill="1" applyBorder="1" applyProtection="1"/>
    <xf numFmtId="0" fontId="0" fillId="0" borderId="0" xfId="0" applyFill="1" applyBorder="1" applyProtection="1"/>
    <xf numFmtId="44" fontId="0" fillId="0" borderId="0" xfId="0" applyNumberFormat="1" applyFill="1" applyBorder="1" applyProtection="1"/>
    <xf numFmtId="0" fontId="0" fillId="0" borderId="0" xfId="0" applyBorder="1"/>
    <xf numFmtId="168" fontId="0" fillId="0" borderId="0" xfId="1" applyNumberFormat="1" applyFont="1" applyFill="1" applyBorder="1" applyProtection="1"/>
    <xf numFmtId="9" fontId="0" fillId="0" borderId="0" xfId="2" applyFont="1" applyProtection="1">
      <protection locked="0"/>
    </xf>
    <xf numFmtId="0" fontId="2" fillId="0" borderId="0" xfId="0" applyFont="1" applyBorder="1" applyAlignment="1">
      <alignment horizontal="right"/>
    </xf>
    <xf numFmtId="1" fontId="0" fillId="0" borderId="0" xfId="0" applyNumberFormat="1"/>
    <xf numFmtId="0" fontId="0" fillId="0" borderId="0" xfId="0" applyFill="1" applyBorder="1"/>
    <xf numFmtId="167" fontId="0" fillId="0" borderId="0" xfId="2" applyNumberFormat="1" applyFont="1" applyProtection="1"/>
    <xf numFmtId="0" fontId="12" fillId="0" borderId="0" xfId="0" applyFont="1" applyBorder="1"/>
    <xf numFmtId="169" fontId="12" fillId="6" borderId="1" xfId="1" applyNumberFormat="1" applyFont="1" applyFill="1" applyBorder="1" applyProtection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4" fontId="5" fillId="0" borderId="0" xfId="0" applyNumberFormat="1" applyFont="1" applyAlignment="1" applyProtection="1">
      <alignment horizontal="right" vertical="center"/>
    </xf>
    <xf numFmtId="44" fontId="5" fillId="0" borderId="0" xfId="0" applyNumberFormat="1" applyFont="1" applyProtection="1"/>
    <xf numFmtId="0" fontId="5" fillId="0" borderId="10" xfId="0" applyFont="1" applyBorder="1" applyAlignment="1" applyProtection="1">
      <alignment horizontal="left" vertical="center"/>
    </xf>
    <xf numFmtId="44" fontId="5" fillId="2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167" fontId="0" fillId="0" borderId="0" xfId="0" applyNumberFormat="1" applyBorder="1"/>
    <xf numFmtId="170" fontId="0" fillId="0" borderId="0" xfId="0" applyNumberFormat="1" applyProtection="1"/>
    <xf numFmtId="9" fontId="0" fillId="0" borderId="0" xfId="0" applyNumberFormat="1"/>
    <xf numFmtId="169" fontId="0" fillId="0" borderId="0" xfId="0" applyNumberFormat="1"/>
    <xf numFmtId="168" fontId="0" fillId="0" borderId="0" xfId="0" applyNumberFormat="1"/>
    <xf numFmtId="0" fontId="2" fillId="0" borderId="0" xfId="0" applyFont="1"/>
    <xf numFmtId="164" fontId="0" fillId="0" borderId="0" xfId="0" applyNumberFormat="1"/>
    <xf numFmtId="167" fontId="0" fillId="0" borderId="0" xfId="0" applyNumberFormat="1"/>
    <xf numFmtId="167" fontId="0" fillId="0" borderId="0" xfId="2" applyNumberFormat="1" applyFont="1"/>
    <xf numFmtId="2" fontId="12" fillId="0" borderId="0" xfId="0" applyNumberFormat="1" applyFont="1" applyFill="1" applyBorder="1"/>
    <xf numFmtId="167" fontId="12" fillId="7" borderId="1" xfId="2" applyNumberFormat="1" applyFont="1" applyFill="1" applyBorder="1" applyProtection="1"/>
    <xf numFmtId="168" fontId="2" fillId="0" borderId="13" xfId="1" applyNumberFormat="1" applyFont="1" applyFill="1" applyBorder="1" applyProtection="1"/>
    <xf numFmtId="168" fontId="2" fillId="0" borderId="14" xfId="1" applyNumberFormat="1" applyFont="1" applyFill="1" applyBorder="1" applyProtection="1"/>
    <xf numFmtId="168" fontId="2" fillId="0" borderId="15" xfId="1" applyNumberFormat="1" applyFont="1" applyFill="1" applyBorder="1" applyProtection="1"/>
    <xf numFmtId="167" fontId="12" fillId="7" borderId="16" xfId="2" applyNumberFormat="1" applyFont="1" applyFill="1" applyBorder="1" applyProtection="1"/>
    <xf numFmtId="167" fontId="12" fillId="7" borderId="17" xfId="2" applyNumberFormat="1" applyFont="1" applyFill="1" applyBorder="1" applyProtection="1"/>
    <xf numFmtId="169" fontId="12" fillId="6" borderId="16" xfId="1" applyNumberFormat="1" applyFont="1" applyFill="1" applyBorder="1" applyProtection="1"/>
    <xf numFmtId="169" fontId="12" fillId="6" borderId="17" xfId="1" applyNumberFormat="1" applyFont="1" applyFill="1" applyBorder="1" applyProtection="1"/>
    <xf numFmtId="0" fontId="12" fillId="7" borderId="12" xfId="0" applyFont="1" applyFill="1" applyBorder="1" applyAlignment="1">
      <alignment horizontal="right"/>
    </xf>
    <xf numFmtId="0" fontId="12" fillId="7" borderId="10" xfId="0" applyFont="1" applyFill="1" applyBorder="1" applyAlignment="1">
      <alignment horizontal="right"/>
    </xf>
    <xf numFmtId="0" fontId="12" fillId="7" borderId="24" xfId="0" applyFont="1" applyFill="1" applyBorder="1" applyAlignment="1">
      <alignment horizontal="right"/>
    </xf>
    <xf numFmtId="167" fontId="12" fillId="7" borderId="18" xfId="2" applyNumberFormat="1" applyFont="1" applyFill="1" applyBorder="1" applyProtection="1"/>
    <xf numFmtId="167" fontId="12" fillId="7" borderId="19" xfId="2" applyNumberFormat="1" applyFont="1" applyFill="1" applyBorder="1" applyProtection="1"/>
    <xf numFmtId="167" fontId="12" fillId="7" borderId="20" xfId="2" applyNumberFormat="1" applyFont="1" applyFill="1" applyBorder="1" applyProtection="1"/>
    <xf numFmtId="0" fontId="12" fillId="6" borderId="12" xfId="0" applyFont="1" applyFill="1" applyBorder="1" applyAlignment="1">
      <alignment horizontal="right"/>
    </xf>
    <xf numFmtId="169" fontId="12" fillId="6" borderId="13" xfId="1" applyNumberFormat="1" applyFont="1" applyFill="1" applyBorder="1" applyProtection="1"/>
    <xf numFmtId="169" fontId="12" fillId="6" borderId="14" xfId="1" applyNumberFormat="1" applyFont="1" applyFill="1" applyBorder="1" applyProtection="1"/>
    <xf numFmtId="169" fontId="12" fillId="6" borderId="15" xfId="1" applyNumberFormat="1" applyFont="1" applyFill="1" applyBorder="1" applyProtection="1"/>
    <xf numFmtId="0" fontId="12" fillId="6" borderId="24" xfId="0" applyFont="1" applyFill="1" applyBorder="1" applyAlignment="1">
      <alignment horizontal="right"/>
    </xf>
    <xf numFmtId="169" fontId="12" fillId="6" borderId="18" xfId="1" applyNumberFormat="1" applyFont="1" applyFill="1" applyBorder="1" applyProtection="1"/>
    <xf numFmtId="169" fontId="12" fillId="6" borderId="19" xfId="1" applyNumberFormat="1" applyFont="1" applyFill="1" applyBorder="1" applyProtection="1"/>
    <xf numFmtId="169" fontId="12" fillId="6" borderId="20" xfId="1" applyNumberFormat="1" applyFont="1" applyFill="1" applyBorder="1" applyProtection="1"/>
    <xf numFmtId="0" fontId="12" fillId="6" borderId="10" xfId="0" applyFont="1" applyFill="1" applyBorder="1" applyAlignment="1">
      <alignment horizontal="right"/>
    </xf>
    <xf numFmtId="9" fontId="0" fillId="0" borderId="0" xfId="2" applyFont="1"/>
    <xf numFmtId="167" fontId="13" fillId="0" borderId="1" xfId="2" applyNumberFormat="1" applyFont="1" applyBorder="1" applyAlignment="1">
      <alignment horizontal="right" vertical="center"/>
    </xf>
    <xf numFmtId="167" fontId="12" fillId="7" borderId="25" xfId="2" applyNumberFormat="1" applyFont="1" applyFill="1" applyBorder="1" applyProtection="1"/>
    <xf numFmtId="167" fontId="12" fillId="7" borderId="26" xfId="2" applyNumberFormat="1" applyFont="1" applyFill="1" applyBorder="1" applyProtection="1"/>
    <xf numFmtId="169" fontId="12" fillId="6" borderId="27" xfId="4" applyNumberFormat="1" applyFont="1" applyFill="1" applyBorder="1"/>
    <xf numFmtId="169" fontId="12" fillId="6" borderId="25" xfId="4" applyNumberFormat="1" applyFont="1" applyFill="1" applyBorder="1"/>
    <xf numFmtId="169" fontId="12" fillId="6" borderId="26" xfId="4" applyNumberFormat="1" applyFont="1" applyFill="1" applyBorder="1"/>
    <xf numFmtId="167" fontId="12" fillId="8" borderId="1" xfId="2" applyNumberFormat="1" applyFont="1" applyFill="1" applyBorder="1"/>
    <xf numFmtId="167" fontId="12" fillId="8" borderId="1" xfId="2" applyNumberFormat="1" applyFont="1" applyFill="1" applyBorder="1" applyProtection="1"/>
    <xf numFmtId="169" fontId="12" fillId="9" borderId="1" xfId="4" applyNumberFormat="1" applyFont="1" applyFill="1" applyBorder="1"/>
    <xf numFmtId="0" fontId="12" fillId="8" borderId="12" xfId="0" applyFont="1" applyFill="1" applyBorder="1" applyAlignment="1">
      <alignment horizontal="right"/>
    </xf>
    <xf numFmtId="167" fontId="12" fillId="8" borderId="14" xfId="2" applyNumberFormat="1" applyFont="1" applyFill="1" applyBorder="1"/>
    <xf numFmtId="167" fontId="12" fillId="8" borderId="15" xfId="2" applyNumberFormat="1" applyFont="1" applyFill="1" applyBorder="1"/>
    <xf numFmtId="0" fontId="12" fillId="8" borderId="10" xfId="0" applyFont="1" applyFill="1" applyBorder="1" applyAlignment="1">
      <alignment horizontal="right"/>
    </xf>
    <xf numFmtId="167" fontId="12" fillId="8" borderId="17" xfId="2" applyNumberFormat="1" applyFont="1" applyFill="1" applyBorder="1" applyProtection="1"/>
    <xf numFmtId="0" fontId="12" fillId="8" borderId="24" xfId="0" applyFont="1" applyFill="1" applyBorder="1" applyAlignment="1">
      <alignment horizontal="right"/>
    </xf>
    <xf numFmtId="167" fontId="12" fillId="8" borderId="19" xfId="2" applyNumberFormat="1" applyFont="1" applyFill="1" applyBorder="1" applyProtection="1"/>
    <xf numFmtId="167" fontId="12" fillId="8" borderId="20" xfId="2" applyNumberFormat="1" applyFont="1" applyFill="1" applyBorder="1" applyProtection="1"/>
    <xf numFmtId="167" fontId="12" fillId="8" borderId="13" xfId="2" applyNumberFormat="1" applyFont="1" applyFill="1" applyBorder="1"/>
    <xf numFmtId="167" fontId="12" fillId="8" borderId="16" xfId="2" applyNumberFormat="1" applyFont="1" applyFill="1" applyBorder="1" applyProtection="1"/>
    <xf numFmtId="167" fontId="12" fillId="8" borderId="18" xfId="2" applyNumberFormat="1" applyFont="1" applyFill="1" applyBorder="1" applyProtection="1"/>
    <xf numFmtId="0" fontId="12" fillId="9" borderId="28" xfId="0" applyFont="1" applyFill="1" applyBorder="1" applyAlignment="1">
      <alignment horizontal="right"/>
    </xf>
    <xf numFmtId="169" fontId="12" fillId="9" borderId="29" xfId="4" applyNumberFormat="1" applyFont="1" applyFill="1" applyBorder="1"/>
    <xf numFmtId="169" fontId="12" fillId="9" borderId="30" xfId="4" applyNumberFormat="1" applyFont="1" applyFill="1" applyBorder="1"/>
    <xf numFmtId="167" fontId="12" fillId="7" borderId="27" xfId="2" applyNumberFormat="1" applyFont="1" applyFill="1" applyBorder="1" applyProtection="1"/>
    <xf numFmtId="169" fontId="12" fillId="9" borderId="31" xfId="4" applyNumberFormat="1" applyFont="1" applyFill="1" applyBorder="1"/>
    <xf numFmtId="167" fontId="12" fillId="7" borderId="21" xfId="2" applyNumberFormat="1" applyFont="1" applyFill="1" applyBorder="1" applyProtection="1"/>
    <xf numFmtId="167" fontId="12" fillId="7" borderId="22" xfId="2" applyNumberFormat="1" applyFont="1" applyFill="1" applyBorder="1" applyProtection="1"/>
    <xf numFmtId="167" fontId="12" fillId="7" borderId="23" xfId="2" applyNumberFormat="1" applyFont="1" applyFill="1" applyBorder="1" applyProtection="1"/>
    <xf numFmtId="169" fontId="12" fillId="9" borderId="1" xfId="2" applyNumberFormat="1" applyFont="1" applyFill="1" applyBorder="1" applyProtection="1"/>
    <xf numFmtId="167" fontId="12" fillId="10" borderId="1" xfId="2" applyNumberFormat="1" applyFont="1" applyFill="1" applyBorder="1" applyProtection="1"/>
    <xf numFmtId="169" fontId="12" fillId="11" borderId="1" xfId="2" applyNumberFormat="1" applyFont="1" applyFill="1" applyBorder="1" applyProtection="1"/>
    <xf numFmtId="167" fontId="14" fillId="13" borderId="1" xfId="2" applyNumberFormat="1" applyFont="1" applyFill="1" applyBorder="1" applyProtection="1"/>
    <xf numFmtId="169" fontId="14" fillId="12" borderId="1" xfId="2" applyNumberFormat="1" applyFont="1" applyFill="1" applyBorder="1" applyProtection="1"/>
    <xf numFmtId="167" fontId="12" fillId="8" borderId="16" xfId="2" applyNumberFormat="1" applyFont="1" applyFill="1" applyBorder="1"/>
    <xf numFmtId="167" fontId="12" fillId="8" borderId="17" xfId="2" applyNumberFormat="1" applyFont="1" applyFill="1" applyBorder="1"/>
    <xf numFmtId="169" fontId="12" fillId="9" borderId="16" xfId="2" applyNumberFormat="1" applyFont="1" applyFill="1" applyBorder="1" applyProtection="1"/>
    <xf numFmtId="169" fontId="12" fillId="9" borderId="17" xfId="2" applyNumberFormat="1" applyFont="1" applyFill="1" applyBorder="1" applyProtection="1"/>
    <xf numFmtId="167" fontId="12" fillId="10" borderId="16" xfId="2" applyNumberFormat="1" applyFont="1" applyFill="1" applyBorder="1" applyProtection="1"/>
    <xf numFmtId="167" fontId="12" fillId="10" borderId="17" xfId="2" applyNumberFormat="1" applyFont="1" applyFill="1" applyBorder="1" applyProtection="1"/>
    <xf numFmtId="169" fontId="12" fillId="11" borderId="16" xfId="2" applyNumberFormat="1" applyFont="1" applyFill="1" applyBorder="1" applyProtection="1"/>
    <xf numFmtId="169" fontId="12" fillId="11" borderId="17" xfId="2" applyNumberFormat="1" applyFont="1" applyFill="1" applyBorder="1" applyProtection="1"/>
    <xf numFmtId="169" fontId="12" fillId="9" borderId="16" xfId="4" applyNumberFormat="1" applyFont="1" applyFill="1" applyBorder="1"/>
    <xf numFmtId="169" fontId="12" fillId="9" borderId="17" xfId="4" applyNumberFormat="1" applyFont="1" applyFill="1" applyBorder="1"/>
    <xf numFmtId="167" fontId="14" fillId="13" borderId="16" xfId="2" applyNumberFormat="1" applyFont="1" applyFill="1" applyBorder="1" applyProtection="1"/>
    <xf numFmtId="167" fontId="14" fillId="13" borderId="17" xfId="2" applyNumberFormat="1" applyFont="1" applyFill="1" applyBorder="1" applyProtection="1"/>
    <xf numFmtId="169" fontId="14" fillId="12" borderId="16" xfId="2" applyNumberFormat="1" applyFont="1" applyFill="1" applyBorder="1" applyProtection="1"/>
    <xf numFmtId="169" fontId="14" fillId="12" borderId="17" xfId="2" applyNumberFormat="1" applyFont="1" applyFill="1" applyBorder="1" applyProtection="1"/>
    <xf numFmtId="44" fontId="0" fillId="0" borderId="0" xfId="0" applyNumberFormat="1"/>
    <xf numFmtId="0" fontId="0" fillId="5" borderId="0" xfId="0" applyFill="1"/>
    <xf numFmtId="165" fontId="10" fillId="5" borderId="0" xfId="1" applyNumberFormat="1" applyFont="1" applyFill="1" applyProtection="1"/>
    <xf numFmtId="168" fontId="12" fillId="0" borderId="21" xfId="4" applyNumberFormat="1" applyFont="1" applyFill="1" applyBorder="1"/>
    <xf numFmtId="168" fontId="12" fillId="0" borderId="22" xfId="4" applyNumberFormat="1" applyFont="1" applyFill="1" applyBorder="1"/>
    <xf numFmtId="168" fontId="12" fillId="0" borderId="23" xfId="4" applyNumberFormat="1" applyFont="1" applyFill="1" applyBorder="1"/>
    <xf numFmtId="168" fontId="12" fillId="0" borderId="18" xfId="4" applyNumberFormat="1" applyFont="1" applyBorder="1"/>
    <xf numFmtId="168" fontId="12" fillId="0" borderId="19" xfId="4" applyNumberFormat="1" applyFont="1" applyBorder="1"/>
    <xf numFmtId="168" fontId="12" fillId="0" borderId="20" xfId="4" applyNumberFormat="1" applyFont="1" applyBorder="1"/>
    <xf numFmtId="168" fontId="12" fillId="0" borderId="21" xfId="0" applyNumberFormat="1" applyFont="1" applyFill="1" applyBorder="1"/>
    <xf numFmtId="168" fontId="12" fillId="0" borderId="22" xfId="0" applyNumberFormat="1" applyFont="1" applyFill="1" applyBorder="1"/>
    <xf numFmtId="168" fontId="12" fillId="0" borderId="23" xfId="0" applyNumberFormat="1" applyFont="1" applyFill="1" applyBorder="1"/>
    <xf numFmtId="168" fontId="12" fillId="0" borderId="16" xfId="0" applyNumberFormat="1" applyFont="1" applyFill="1" applyBorder="1"/>
    <xf numFmtId="168" fontId="12" fillId="0" borderId="1" xfId="0" applyNumberFormat="1" applyFont="1" applyFill="1" applyBorder="1"/>
    <xf numFmtId="168" fontId="12" fillId="0" borderId="17" xfId="0" applyNumberFormat="1" applyFont="1" applyFill="1" applyBorder="1"/>
    <xf numFmtId="168" fontId="12" fillId="0" borderId="18" xfId="0" applyNumberFormat="1" applyFont="1" applyFill="1" applyBorder="1"/>
    <xf numFmtId="168" fontId="12" fillId="0" borderId="19" xfId="0" applyNumberFormat="1" applyFont="1" applyFill="1" applyBorder="1"/>
    <xf numFmtId="168" fontId="12" fillId="0" borderId="20" xfId="0" applyNumberFormat="1" applyFont="1" applyFill="1" applyBorder="1"/>
    <xf numFmtId="168" fontId="2" fillId="0" borderId="21" xfId="1" applyNumberFormat="1" applyFont="1" applyFill="1" applyBorder="1" applyProtection="1"/>
    <xf numFmtId="168" fontId="2" fillId="0" borderId="22" xfId="1" applyNumberFormat="1" applyFont="1" applyFill="1" applyBorder="1" applyProtection="1"/>
    <xf numFmtId="168" fontId="2" fillId="0" borderId="23" xfId="1" applyNumberFormat="1" applyFont="1" applyFill="1" applyBorder="1" applyProtection="1"/>
    <xf numFmtId="0" fontId="11" fillId="5" borderId="28" xfId="0" applyFont="1" applyFill="1" applyBorder="1" applyAlignment="1">
      <alignment horizontal="right" vertical="center"/>
    </xf>
    <xf numFmtId="0" fontId="2" fillId="5" borderId="32" xfId="0" applyFont="1" applyFill="1" applyBorder="1"/>
    <xf numFmtId="0" fontId="0" fillId="5" borderId="32" xfId="0" applyFill="1" applyBorder="1"/>
    <xf numFmtId="0" fontId="11" fillId="5" borderId="32" xfId="0" applyFont="1" applyFill="1" applyBorder="1" applyAlignment="1">
      <alignment horizontal="left" vertical="center"/>
    </xf>
    <xf numFmtId="0" fontId="11" fillId="5" borderId="33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right"/>
    </xf>
    <xf numFmtId="168" fontId="2" fillId="0" borderId="34" xfId="1" applyNumberFormat="1" applyFont="1" applyFill="1" applyBorder="1" applyProtection="1"/>
    <xf numFmtId="168" fontId="2" fillId="0" borderId="35" xfId="1" applyNumberFormat="1" applyFont="1" applyFill="1" applyBorder="1" applyProtection="1"/>
    <xf numFmtId="168" fontId="2" fillId="0" borderId="36" xfId="1" applyNumberFormat="1" applyFont="1" applyFill="1" applyBorder="1" applyProtection="1"/>
    <xf numFmtId="0" fontId="2" fillId="0" borderId="10" xfId="0" applyFont="1" applyBorder="1" applyAlignment="1">
      <alignment horizontal="right" vertical="center" wrapText="1"/>
    </xf>
    <xf numFmtId="167" fontId="13" fillId="0" borderId="17" xfId="2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/>
    </xf>
    <xf numFmtId="0" fontId="12" fillId="9" borderId="10" xfId="0" applyFont="1" applyFill="1" applyBorder="1" applyAlignment="1">
      <alignment horizontal="right"/>
    </xf>
    <xf numFmtId="0" fontId="12" fillId="10" borderId="10" xfId="0" applyFont="1" applyFill="1" applyBorder="1" applyAlignment="1">
      <alignment horizontal="right"/>
    </xf>
    <xf numFmtId="0" fontId="12" fillId="11" borderId="10" xfId="0" applyFont="1" applyFill="1" applyBorder="1" applyAlignment="1">
      <alignment horizontal="right"/>
    </xf>
    <xf numFmtId="0" fontId="14" fillId="13" borderId="10" xfId="0" applyFont="1" applyFill="1" applyBorder="1" applyAlignment="1">
      <alignment horizontal="right"/>
    </xf>
    <xf numFmtId="0" fontId="14" fillId="12" borderId="10" xfId="0" applyFont="1" applyFill="1" applyBorder="1" applyAlignment="1">
      <alignment horizontal="right"/>
    </xf>
    <xf numFmtId="10" fontId="0" fillId="0" borderId="22" xfId="0" applyNumberFormat="1" applyBorder="1" applyAlignment="1">
      <alignment horizontal="right"/>
    </xf>
    <xf numFmtId="10" fontId="0" fillId="0" borderId="23" xfId="0" applyNumberFormat="1" applyBorder="1" applyAlignment="1">
      <alignment horizontal="right"/>
    </xf>
    <xf numFmtId="0" fontId="2" fillId="5" borderId="28" xfId="0" applyFont="1" applyFill="1" applyBorder="1" applyAlignment="1">
      <alignment horizontal="right" vertical="center" wrapText="1"/>
    </xf>
    <xf numFmtId="9" fontId="1" fillId="5" borderId="29" xfId="2" applyFont="1" applyFill="1" applyBorder="1" applyAlignment="1">
      <alignment horizontal="center"/>
    </xf>
    <xf numFmtId="9" fontId="1" fillId="5" borderId="30" xfId="2" applyFont="1" applyFill="1" applyBorder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</a:t>
            </a:r>
            <a:r>
              <a:rPr lang="en-US" baseline="0"/>
              <a:t> Share of Cost as a Percent of Income Sliding Scale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40928348523364"/>
          <c:y val="0.10826036193812026"/>
          <c:w val="0.87096829431754097"/>
          <c:h val="0.69977660410662312"/>
        </c:manualLayout>
      </c:layout>
      <c:lineChart>
        <c:grouping val="standard"/>
        <c:varyColors val="0"/>
        <c:ser>
          <c:idx val="0"/>
          <c:order val="0"/>
          <c:tx>
            <c:v>1st Child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'Scale Charts'!$N$2:$V$2</c:f>
              <c:numCache>
                <c:formatCode>0%</c:formatCode>
                <c:ptCount val="9"/>
                <c:pt idx="0">
                  <c:v>0.01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</c:numCache>
            </c:numRef>
          </c:cat>
          <c:val>
            <c:numRef>
              <c:f>'Scale Charts'!$N$3:$V$3</c:f>
              <c:numCache>
                <c:formatCode>0.000%</c:formatCode>
                <c:ptCount val="9"/>
                <c:pt idx="0">
                  <c:v>2.0006946544980444E-2</c:v>
                </c:pt>
                <c:pt idx="1">
                  <c:v>2.9330512385919168E-2</c:v>
                </c:pt>
                <c:pt idx="2">
                  <c:v>3.5984000000000002E-2</c:v>
                </c:pt>
                <c:pt idx="3">
                  <c:v>4.264834159061278E-2</c:v>
                </c:pt>
                <c:pt idx="4">
                  <c:v>4.9312683181225558E-2</c:v>
                </c:pt>
                <c:pt idx="5">
                  <c:v>5.5966170795306386E-2</c:v>
                </c:pt>
                <c:pt idx="6">
                  <c:v>6.2630512385919171E-2</c:v>
                </c:pt>
                <c:pt idx="7">
                  <c:v>6.9283999999999998E-2</c:v>
                </c:pt>
                <c:pt idx="8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8-4673-A95F-2B2B283CC660}"/>
            </c:ext>
          </c:extLst>
        </c:ser>
        <c:ser>
          <c:idx val="1"/>
          <c:order val="1"/>
          <c:tx>
            <c:v>% Add-on Each Add'l Child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'Scale Charts'!$N$2:$V$2</c:f>
              <c:numCache>
                <c:formatCode>0%</c:formatCode>
                <c:ptCount val="9"/>
                <c:pt idx="0">
                  <c:v>0.01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</c:numCache>
            </c:numRef>
          </c:cat>
          <c:val>
            <c:numRef>
              <c:f>'Scale Charts'!$N$4:$V$4</c:f>
              <c:numCache>
                <c:formatCode>0.000%</c:formatCode>
                <c:ptCount val="9"/>
                <c:pt idx="0">
                  <c:v>1.503957783641173E-4</c:v>
                </c:pt>
                <c:pt idx="1">
                  <c:v>2.250000000000002E-3</c:v>
                </c:pt>
                <c:pt idx="2">
                  <c:v>3.7500000000000033E-3</c:v>
                </c:pt>
                <c:pt idx="3">
                  <c:v>5.2499999999999977E-3</c:v>
                </c:pt>
                <c:pt idx="4">
                  <c:v>6.7499999999999991E-3</c:v>
                </c:pt>
                <c:pt idx="5">
                  <c:v>8.2500000000000073E-3</c:v>
                </c:pt>
                <c:pt idx="6">
                  <c:v>7.3760000000000076E-3</c:v>
                </c:pt>
                <c:pt idx="7">
                  <c:v>7.160000000000083E-4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7-4419-96AD-59FE2AA40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38928"/>
        <c:axId val="276471440"/>
      </c:lineChart>
      <c:catAx>
        <c:axId val="27913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Family</a:t>
                </a:r>
                <a:r>
                  <a:rPr lang="en-US" baseline="0"/>
                  <a:t> Income as Percent of State Median Income (SMI)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471440"/>
        <c:crosses val="autoZero"/>
        <c:auto val="1"/>
        <c:lblAlgn val="ctr"/>
        <c:lblOffset val="100"/>
        <c:noMultiLvlLbl val="0"/>
      </c:catAx>
      <c:valAx>
        <c:axId val="27647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Parent Share of Cost as Percent of 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3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</a:t>
            </a:r>
            <a:r>
              <a:rPr lang="en-US"/>
              <a:t>Parent</a:t>
            </a:r>
            <a:r>
              <a:rPr lang="en-US" baseline="0"/>
              <a:t> Share of Cost as Percent of Income Capped at 7%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4179421392551"/>
          <c:y val="0.11696625670135603"/>
          <c:w val="0.8867231413489044"/>
          <c:h val="0.70918808989935878"/>
        </c:manualLayout>
      </c:layout>
      <c:lineChart>
        <c:grouping val="standard"/>
        <c:varyColors val="0"/>
        <c:ser>
          <c:idx val="0"/>
          <c:order val="0"/>
          <c:tx>
            <c:v>1 Child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'Scale Charts'!$N$26:$V$26</c:f>
              <c:numCache>
                <c:formatCode>0%</c:formatCode>
                <c:ptCount val="9"/>
                <c:pt idx="0">
                  <c:v>0.01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</c:numCache>
            </c:numRef>
          </c:cat>
          <c:val>
            <c:numRef>
              <c:f>'Scale Charts'!$N$27:$V$27</c:f>
              <c:numCache>
                <c:formatCode>0.000%</c:formatCode>
                <c:ptCount val="9"/>
                <c:pt idx="0">
                  <c:v>2.0006946544980444E-2</c:v>
                </c:pt>
                <c:pt idx="1">
                  <c:v>2.9330512385919168E-2</c:v>
                </c:pt>
                <c:pt idx="2">
                  <c:v>3.5984000000000002E-2</c:v>
                </c:pt>
                <c:pt idx="3">
                  <c:v>4.264834159061278E-2</c:v>
                </c:pt>
                <c:pt idx="4">
                  <c:v>4.9312683181225558E-2</c:v>
                </c:pt>
                <c:pt idx="5">
                  <c:v>5.5966170795306386E-2</c:v>
                </c:pt>
                <c:pt idx="6">
                  <c:v>6.2630512385919171E-2</c:v>
                </c:pt>
                <c:pt idx="7">
                  <c:v>6.9283999999999998E-2</c:v>
                </c:pt>
                <c:pt idx="8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9-44DF-9F61-FEBA6A3C225B}"/>
            </c:ext>
          </c:extLst>
        </c:ser>
        <c:ser>
          <c:idx val="1"/>
          <c:order val="1"/>
          <c:tx>
            <c:v>2 Children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'Scale Charts'!$N$26:$V$26</c:f>
              <c:numCache>
                <c:formatCode>0%</c:formatCode>
                <c:ptCount val="9"/>
                <c:pt idx="0">
                  <c:v>0.01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</c:numCache>
            </c:numRef>
          </c:cat>
          <c:val>
            <c:numRef>
              <c:f>'Scale Charts'!$N$28:$V$28</c:f>
              <c:numCache>
                <c:formatCode>0.000%</c:formatCode>
                <c:ptCount val="9"/>
                <c:pt idx="0">
                  <c:v>2.0152153034300794E-2</c:v>
                </c:pt>
                <c:pt idx="1">
                  <c:v>3.1574000000000005E-2</c:v>
                </c:pt>
                <c:pt idx="2">
                  <c:v>3.9734000000000005E-2</c:v>
                </c:pt>
                <c:pt idx="3">
                  <c:v>4.7893999999999999E-2</c:v>
                </c:pt>
                <c:pt idx="4">
                  <c:v>5.6054E-2</c:v>
                </c:pt>
                <c:pt idx="5">
                  <c:v>6.4214000000000021E-2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9-44DF-9F61-FEBA6A3C225B}"/>
            </c:ext>
          </c:extLst>
        </c:ser>
        <c:ser>
          <c:idx val="2"/>
          <c:order val="2"/>
          <c:tx>
            <c:v>3 Children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'Scale Charts'!$N$26:$V$26</c:f>
              <c:numCache>
                <c:formatCode>0%</c:formatCode>
                <c:ptCount val="9"/>
                <c:pt idx="0">
                  <c:v>0.01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</c:numCache>
            </c:numRef>
          </c:cat>
          <c:val>
            <c:numRef>
              <c:f>'Scale Charts'!$N$29:$V$29</c:f>
              <c:numCache>
                <c:formatCode>0.000%</c:formatCode>
                <c:ptCount val="9"/>
                <c:pt idx="0">
                  <c:v>2.0308135638297871E-2</c:v>
                </c:pt>
                <c:pt idx="1">
                  <c:v>3.3828281914893614E-2</c:v>
                </c:pt>
                <c:pt idx="2">
                  <c:v>4.3484000000000002E-2</c:v>
                </c:pt>
                <c:pt idx="3">
                  <c:v>5.3150422872340432E-2</c:v>
                </c:pt>
                <c:pt idx="4">
                  <c:v>6.2806140957446813E-2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9-44DF-9F61-FEBA6A3C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38928"/>
        <c:axId val="276471440"/>
      </c:lineChart>
      <c:catAx>
        <c:axId val="27913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Family</a:t>
                </a:r>
                <a:r>
                  <a:rPr lang="en-US" baseline="0"/>
                  <a:t> Income as Percent of State Median Income (SMI)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471440"/>
        <c:crosses val="autoZero"/>
        <c:auto val="1"/>
        <c:lblAlgn val="ctr"/>
        <c:lblOffset val="100"/>
        <c:noMultiLvlLbl val="0"/>
      </c:catAx>
      <c:valAx>
        <c:axId val="276471440"/>
        <c:scaling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Parent Share of Cost as Percent of 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3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Share of Cost - Family Size of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One Child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'Income Charts'!$O$3:$W$3</c:f>
              <c:numCache>
                <c:formatCode>"$"#,##0</c:formatCode>
                <c:ptCount val="9"/>
                <c:pt idx="0">
                  <c:v>62</c:v>
                </c:pt>
                <c:pt idx="1">
                  <c:v>921</c:v>
                </c:pt>
                <c:pt idx="2">
                  <c:v>1534</c:v>
                </c:pt>
                <c:pt idx="3">
                  <c:v>2148</c:v>
                </c:pt>
                <c:pt idx="4">
                  <c:v>2762</c:v>
                </c:pt>
                <c:pt idx="5">
                  <c:v>3375</c:v>
                </c:pt>
                <c:pt idx="6">
                  <c:v>3989</c:v>
                </c:pt>
                <c:pt idx="7">
                  <c:v>4602</c:v>
                </c:pt>
                <c:pt idx="8">
                  <c:v>5216</c:v>
                </c:pt>
              </c:numCache>
            </c:numRef>
          </c:cat>
          <c:val>
            <c:numRef>
              <c:f>'Income Charts'!$O$4:$W$4</c:f>
              <c:numCache>
                <c:formatCode>"$"#,##0</c:formatCode>
                <c:ptCount val="9"/>
                <c:pt idx="0">
                  <c:v>1</c:v>
                </c:pt>
                <c:pt idx="1">
                  <c:v>27</c:v>
                </c:pt>
                <c:pt idx="2">
                  <c:v>55</c:v>
                </c:pt>
                <c:pt idx="3">
                  <c:v>92</c:v>
                </c:pt>
                <c:pt idx="4">
                  <c:v>136</c:v>
                </c:pt>
                <c:pt idx="5">
                  <c:v>189</c:v>
                </c:pt>
                <c:pt idx="6">
                  <c:v>250</c:v>
                </c:pt>
                <c:pt idx="7">
                  <c:v>319</c:v>
                </c:pt>
                <c:pt idx="8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F1B-BF7B-3AFE2B571B0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0438111"/>
        <c:axId val="630438591"/>
      </c:lineChart>
      <c:catAx>
        <c:axId val="630438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FAMILY INCOME (1% - 85% SMI)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38591"/>
        <c:crosses val="autoZero"/>
        <c:auto val="1"/>
        <c:lblAlgn val="ctr"/>
        <c:lblOffset val="100"/>
        <c:noMultiLvlLbl val="0"/>
      </c:catAx>
      <c:valAx>
        <c:axId val="63043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PARENT</a:t>
                </a:r>
                <a:r>
                  <a:rPr lang="en-US" baseline="0"/>
                  <a:t> SHARE OF OST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3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Share of Cost - Family Size of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One Child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1.1022840119165808E-2"/>
                  <c:y val="8.39183505676248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9-48DB-97FA-7B3C7190B7BD}"/>
                </c:ext>
              </c:extLst>
            </c:dLbl>
            <c:dLbl>
              <c:idx val="2"/>
              <c:layout>
                <c:manualLayout>
                  <c:x val="-3.531943065210192E-2"/>
                  <c:y val="-4.515568837027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9-48DB-97FA-7B3C7190B7BD}"/>
                </c:ext>
              </c:extLst>
            </c:dLbl>
            <c:dLbl>
              <c:idx val="3"/>
              <c:layout>
                <c:manualLayout>
                  <c:x val="-3.5319430652102017E-2"/>
                  <c:y val="-5.519584901284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39-48DB-97FA-7B3C7190B7BD}"/>
                </c:ext>
              </c:extLst>
            </c:dLbl>
            <c:dLbl>
              <c:idx val="4"/>
              <c:layout>
                <c:manualLayout>
                  <c:x val="7.2492552135054013E-3"/>
                  <c:y val="4.1859037198663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9-48DB-97FA-7B3C7190B7BD}"/>
                </c:ext>
              </c:extLst>
            </c:dLbl>
            <c:dLbl>
              <c:idx val="5"/>
              <c:layout>
                <c:manualLayout>
                  <c:x val="-1.4266799073154585E-2"/>
                  <c:y val="4.185903719866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9-48DB-97FA-7B3C7190B7BD}"/>
                </c:ext>
              </c:extLst>
            </c:dLbl>
            <c:dLbl>
              <c:idx val="6"/>
              <c:layout>
                <c:manualLayout>
                  <c:x val="3.939093015557762E-3"/>
                  <c:y val="3.5165596770283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9-48DB-97FA-7B3C7190B7BD}"/>
                </c:ext>
              </c:extLst>
            </c:dLbl>
            <c:dLbl>
              <c:idx val="7"/>
              <c:layout>
                <c:manualLayout>
                  <c:x val="-2.6812313803377579E-3"/>
                  <c:y val="3.8512316984473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9-48DB-97FA-7B3C7190B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'Income Charts'!$O$24:$W$24</c:f>
              <c:numCache>
                <c:formatCode>"$"#,##0</c:formatCode>
                <c:ptCount val="9"/>
                <c:pt idx="0">
                  <c:v>76</c:v>
                </c:pt>
                <c:pt idx="1">
                  <c:v>1137</c:v>
                </c:pt>
                <c:pt idx="2">
                  <c:v>1895</c:v>
                </c:pt>
                <c:pt idx="3">
                  <c:v>2653</c:v>
                </c:pt>
                <c:pt idx="4">
                  <c:v>3411</c:v>
                </c:pt>
                <c:pt idx="5">
                  <c:v>4169</c:v>
                </c:pt>
                <c:pt idx="6">
                  <c:v>4927</c:v>
                </c:pt>
                <c:pt idx="7">
                  <c:v>5685</c:v>
                </c:pt>
                <c:pt idx="8">
                  <c:v>6443</c:v>
                </c:pt>
              </c:numCache>
            </c:numRef>
          </c:cat>
          <c:val>
            <c:numRef>
              <c:f>'Income Charts'!$O$25:$W$25</c:f>
              <c:numCache>
                <c:formatCode>"$"#,##0</c:formatCode>
                <c:ptCount val="9"/>
                <c:pt idx="0">
                  <c:v>2</c:v>
                </c:pt>
                <c:pt idx="1">
                  <c:v>33</c:v>
                </c:pt>
                <c:pt idx="2">
                  <c:v>68</c:v>
                </c:pt>
                <c:pt idx="3">
                  <c:v>113</c:v>
                </c:pt>
                <c:pt idx="4">
                  <c:v>168</c:v>
                </c:pt>
                <c:pt idx="5">
                  <c:v>233</c:v>
                </c:pt>
                <c:pt idx="6">
                  <c:v>309</c:v>
                </c:pt>
                <c:pt idx="7">
                  <c:v>394</c:v>
                </c:pt>
                <c:pt idx="8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9-48DB-97FA-7B3C7190B7BD}"/>
            </c:ext>
          </c:extLst>
        </c:ser>
        <c:ser>
          <c:idx val="0"/>
          <c:order val="1"/>
          <c:tx>
            <c:v>Two Children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009268454154256E-2"/>
                  <c:y val="-5.184912879865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9-48DB-97FA-7B3C7190B7BD}"/>
                </c:ext>
              </c:extLst>
            </c:dLbl>
            <c:dLbl>
              <c:idx val="2"/>
              <c:layout>
                <c:manualLayout>
                  <c:x val="-5.6272757365110888E-4"/>
                  <c:y val="3.516559677028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9-48DB-97FA-7B3C7190B7BD}"/>
                </c:ext>
              </c:extLst>
            </c:dLbl>
            <c:dLbl>
              <c:idx val="3"/>
              <c:layout>
                <c:manualLayout>
                  <c:x val="4.4025157232703794E-3"/>
                  <c:y val="4.855247762704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9-48DB-97FA-7B3C7190B7BD}"/>
                </c:ext>
              </c:extLst>
            </c:dLbl>
            <c:dLbl>
              <c:idx val="4"/>
              <c:layout>
                <c:manualLayout>
                  <c:x val="-3.7437934458788541E-2"/>
                  <c:y val="-5.519584901284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39-48DB-97FA-7B3C7190B7BD}"/>
                </c:ext>
              </c:extLst>
            </c:dLbl>
            <c:dLbl>
              <c:idx val="5"/>
              <c:layout>
                <c:manualLayout>
                  <c:x val="-4.0748096656736177E-2"/>
                  <c:y val="-5.184912879865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39-48DB-97FA-7B3C7190B7BD}"/>
                </c:ext>
              </c:extLst>
            </c:dLbl>
            <c:dLbl>
              <c:idx val="6"/>
              <c:layout>
                <c:manualLayout>
                  <c:x val="-3.9093015557762331E-2"/>
                  <c:y val="-5.519584901284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39-48DB-97FA-7B3C7190B7BD}"/>
                </c:ext>
              </c:extLst>
            </c:dLbl>
            <c:dLbl>
              <c:idx val="7"/>
              <c:layout>
                <c:manualLayout>
                  <c:x val="-2.7507447864945384E-2"/>
                  <c:y val="-5.519584901284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9-48DB-97FA-7B3C7190B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'Income Charts'!$O$26:$W$26</c:f>
              <c:numCache>
                <c:formatCode>"$"#,##0</c:formatCode>
                <c:ptCount val="9"/>
                <c:pt idx="0">
                  <c:v>2</c:v>
                </c:pt>
                <c:pt idx="1">
                  <c:v>36</c:v>
                </c:pt>
                <c:pt idx="2">
                  <c:v>75</c:v>
                </c:pt>
                <c:pt idx="3">
                  <c:v>127</c:v>
                </c:pt>
                <c:pt idx="4">
                  <c:v>191</c:v>
                </c:pt>
                <c:pt idx="5">
                  <c:v>268</c:v>
                </c:pt>
                <c:pt idx="6">
                  <c:v>345</c:v>
                </c:pt>
                <c:pt idx="7">
                  <c:v>398</c:v>
                </c:pt>
                <c:pt idx="8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9-48DB-97FA-7B3C7190B7B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0438111"/>
        <c:axId val="630438591"/>
      </c:lineChart>
      <c:catAx>
        <c:axId val="630438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FAMILY INCOME (1% - 85% SMI)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38591"/>
        <c:crosses val="autoZero"/>
        <c:auto val="1"/>
        <c:lblAlgn val="ctr"/>
        <c:lblOffset val="100"/>
        <c:noMultiLvlLbl val="0"/>
      </c:catAx>
      <c:valAx>
        <c:axId val="63043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PARENT</a:t>
                </a:r>
                <a:r>
                  <a:rPr lang="en-US" baseline="0"/>
                  <a:t> SHARE OF OST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3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Share of Cost - Family Size of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One Child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8560079443892748E-2"/>
                  <c:y val="2.8472156341903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0-449B-BDB2-FB97CB1E4027}"/>
                </c:ext>
              </c:extLst>
            </c:dLbl>
            <c:dLbl>
              <c:idx val="2"/>
              <c:layout>
                <c:manualLayout>
                  <c:x val="-5.6835484938761997E-2"/>
                  <c:y val="5.524591805542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0-449B-BDB2-FB97CB1E4027}"/>
                </c:ext>
              </c:extLst>
            </c:dLbl>
            <c:dLbl>
              <c:idx val="3"/>
              <c:layout>
                <c:manualLayout>
                  <c:x val="-6.7229394240317777E-2"/>
                  <c:y val="-7.527617029798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0-449B-BDB2-FB97CB1E4027}"/>
                </c:ext>
              </c:extLst>
            </c:dLbl>
            <c:dLbl>
              <c:idx val="4"/>
              <c:layout>
                <c:manualLayout>
                  <c:x val="-6.0609069844422436E-2"/>
                  <c:y val="7.5326239340564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0-449B-BDB2-FB97CB1E4027}"/>
                </c:ext>
              </c:extLst>
            </c:dLbl>
            <c:dLbl>
              <c:idx val="5"/>
              <c:layout>
                <c:manualLayout>
                  <c:x val="-4.240317775571003E-2"/>
                  <c:y val="7.5326239340564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0-449B-BDB2-FB97CB1E4027}"/>
                </c:ext>
              </c:extLst>
            </c:dLbl>
            <c:dLbl>
              <c:idx val="6"/>
              <c:layout>
                <c:manualLayout>
                  <c:x val="-4.9023502151605426E-2"/>
                  <c:y val="7.532623934056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0-449B-BDB2-FB97CB1E4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'Income Charts'!$O$45:$W$45</c:f>
              <c:numCache>
                <c:formatCode>"$"#,##0</c:formatCode>
                <c:ptCount val="9"/>
                <c:pt idx="0">
                  <c:v>91</c:v>
                </c:pt>
                <c:pt idx="1">
                  <c:v>1354</c:v>
                </c:pt>
                <c:pt idx="2">
                  <c:v>2256</c:v>
                </c:pt>
                <c:pt idx="3">
                  <c:v>3159</c:v>
                </c:pt>
                <c:pt idx="4">
                  <c:v>4061</c:v>
                </c:pt>
                <c:pt idx="5">
                  <c:v>4964</c:v>
                </c:pt>
                <c:pt idx="6">
                  <c:v>5866</c:v>
                </c:pt>
                <c:pt idx="7">
                  <c:v>6768</c:v>
                </c:pt>
                <c:pt idx="8">
                  <c:v>7670</c:v>
                </c:pt>
              </c:numCache>
            </c:numRef>
          </c:cat>
          <c:val>
            <c:numRef>
              <c:f>'Income Charts'!$O$46:$W$46</c:f>
              <c:numCache>
                <c:formatCode>"$"#,##0</c:formatCode>
                <c:ptCount val="9"/>
                <c:pt idx="0">
                  <c:v>2</c:v>
                </c:pt>
                <c:pt idx="1">
                  <c:v>40</c:v>
                </c:pt>
                <c:pt idx="2">
                  <c:v>81</c:v>
                </c:pt>
                <c:pt idx="3">
                  <c:v>135</c:v>
                </c:pt>
                <c:pt idx="4">
                  <c:v>200</c:v>
                </c:pt>
                <c:pt idx="5">
                  <c:v>278</c:v>
                </c:pt>
                <c:pt idx="6">
                  <c:v>367</c:v>
                </c:pt>
                <c:pt idx="7">
                  <c:v>469</c:v>
                </c:pt>
                <c:pt idx="8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50-449B-BDB2-FB97CB1E4027}"/>
            </c:ext>
          </c:extLst>
        </c:ser>
        <c:ser>
          <c:idx val="0"/>
          <c:order val="1"/>
          <c:tx>
            <c:v>Two Children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0006620324395927E-2"/>
                  <c:y val="-5.184912879865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50-449B-BDB2-FB97CB1E4027}"/>
                </c:ext>
              </c:extLst>
            </c:dLbl>
            <c:dLbl>
              <c:idx val="2"/>
              <c:layout>
                <c:manualLayout>
                  <c:x val="-5.1870241641840453E-2"/>
                  <c:y val="-4.1808968156088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50-449B-BDB2-FB97CB1E4027}"/>
                </c:ext>
              </c:extLst>
            </c:dLbl>
            <c:dLbl>
              <c:idx val="3"/>
              <c:layout>
                <c:manualLayout>
                  <c:x val="-4.9023502151605426E-2"/>
                  <c:y val="7.5326239340564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50-449B-BDB2-FB97CB1E4027}"/>
                </c:ext>
              </c:extLst>
            </c:dLbl>
            <c:dLbl>
              <c:idx val="4"/>
              <c:layout>
                <c:manualLayout>
                  <c:x val="-6.0609069844422436E-2"/>
                  <c:y val="-5.184912879865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50-449B-BDB2-FB97CB1E4027}"/>
                </c:ext>
              </c:extLst>
            </c:dLbl>
            <c:dLbl>
              <c:idx val="5"/>
              <c:layout>
                <c:manualLayout>
                  <c:x val="-6.5574313141343932E-2"/>
                  <c:y val="-5.519584901284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50-449B-BDB2-FB97CB1E40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50-449B-BDB2-FB97CB1E40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50-449B-BDB2-FB97CB1E4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'Income Charts'!$O$45:$W$45</c:f>
              <c:numCache>
                <c:formatCode>"$"#,##0</c:formatCode>
                <c:ptCount val="9"/>
                <c:pt idx="0">
                  <c:v>91</c:v>
                </c:pt>
                <c:pt idx="1">
                  <c:v>1354</c:v>
                </c:pt>
                <c:pt idx="2">
                  <c:v>2256</c:v>
                </c:pt>
                <c:pt idx="3">
                  <c:v>3159</c:v>
                </c:pt>
                <c:pt idx="4">
                  <c:v>4061</c:v>
                </c:pt>
                <c:pt idx="5">
                  <c:v>4964</c:v>
                </c:pt>
                <c:pt idx="6">
                  <c:v>5866</c:v>
                </c:pt>
                <c:pt idx="7">
                  <c:v>6768</c:v>
                </c:pt>
                <c:pt idx="8">
                  <c:v>7670</c:v>
                </c:pt>
              </c:numCache>
            </c:numRef>
          </c:cat>
          <c:val>
            <c:numRef>
              <c:f>'Income Charts'!$O$47:$W$47</c:f>
              <c:numCache>
                <c:formatCode>"$"#,##0</c:formatCode>
                <c:ptCount val="9"/>
                <c:pt idx="0">
                  <c:v>2</c:v>
                </c:pt>
                <c:pt idx="1">
                  <c:v>43</c:v>
                </c:pt>
                <c:pt idx="2">
                  <c:v>90</c:v>
                </c:pt>
                <c:pt idx="3">
                  <c:v>151</c:v>
                </c:pt>
                <c:pt idx="4">
                  <c:v>228</c:v>
                </c:pt>
                <c:pt idx="5">
                  <c:v>319</c:v>
                </c:pt>
                <c:pt idx="6">
                  <c:v>411</c:v>
                </c:pt>
                <c:pt idx="7">
                  <c:v>474</c:v>
                </c:pt>
                <c:pt idx="8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50-449B-BDB2-FB97CB1E4027}"/>
            </c:ext>
          </c:extLst>
        </c:ser>
        <c:ser>
          <c:idx val="2"/>
          <c:order val="2"/>
          <c:tx>
            <c:v>Three Children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3733862959285035E-2"/>
                  <c:y val="-0.11209009265408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50-449B-BDB2-FB97CB1E4027}"/>
                </c:ext>
              </c:extLst>
            </c:dLbl>
            <c:dLbl>
              <c:idx val="2"/>
              <c:layout>
                <c:manualLayout>
                  <c:x val="-2.2078781860311154E-2"/>
                  <c:y val="-0.102049932011510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50-449B-BDB2-FB97CB1E4027}"/>
                </c:ext>
              </c:extLst>
            </c:dLbl>
            <c:dLbl>
              <c:idx val="3"/>
              <c:layout>
                <c:manualLayout>
                  <c:x val="-1.7576961271102285E-2"/>
                  <c:y val="-9.8703211797320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50-449B-BDB2-FB97CB1E4027}"/>
                </c:ext>
              </c:extLst>
            </c:dLbl>
            <c:dLbl>
              <c:idx val="4"/>
              <c:layout>
                <c:manualLayout>
                  <c:x val="-2.4197285666997744E-2"/>
                  <c:y val="-7.8622890512179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50-449B-BDB2-FB97CB1E4027}"/>
                </c:ext>
              </c:extLst>
            </c:dLbl>
            <c:dLbl>
              <c:idx val="5"/>
              <c:layout>
                <c:manualLayout>
                  <c:x val="-1.2611717974180734E-2"/>
                  <c:y val="-7.5276170297989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50-449B-BDB2-FB97CB1E4027}"/>
                </c:ext>
              </c:extLst>
            </c:dLbl>
            <c:dLbl>
              <c:idx val="6"/>
              <c:layout>
                <c:manualLayout>
                  <c:x val="-2.7507447864945384E-2"/>
                  <c:y val="-7.192945008379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50-449B-BDB2-FB97CB1E40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50-449B-BDB2-FB97CB1E4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'Income Charts'!$O$45:$W$45</c:f>
              <c:numCache>
                <c:formatCode>"$"#,##0</c:formatCode>
                <c:ptCount val="9"/>
                <c:pt idx="0">
                  <c:v>91</c:v>
                </c:pt>
                <c:pt idx="1">
                  <c:v>1354</c:v>
                </c:pt>
                <c:pt idx="2">
                  <c:v>2256</c:v>
                </c:pt>
                <c:pt idx="3">
                  <c:v>3159</c:v>
                </c:pt>
                <c:pt idx="4">
                  <c:v>4061</c:v>
                </c:pt>
                <c:pt idx="5">
                  <c:v>4964</c:v>
                </c:pt>
                <c:pt idx="6">
                  <c:v>5866</c:v>
                </c:pt>
                <c:pt idx="7">
                  <c:v>6768</c:v>
                </c:pt>
                <c:pt idx="8">
                  <c:v>7670</c:v>
                </c:pt>
              </c:numCache>
            </c:numRef>
          </c:cat>
          <c:val>
            <c:numRef>
              <c:f>'Income Charts'!$O$48:$W$48</c:f>
              <c:numCache>
                <c:formatCode>"$"#,##0</c:formatCode>
                <c:ptCount val="9"/>
                <c:pt idx="0">
                  <c:v>2</c:v>
                </c:pt>
                <c:pt idx="1">
                  <c:v>46</c:v>
                </c:pt>
                <c:pt idx="2">
                  <c:v>98</c:v>
                </c:pt>
                <c:pt idx="3">
                  <c:v>168</c:v>
                </c:pt>
                <c:pt idx="4">
                  <c:v>255</c:v>
                </c:pt>
                <c:pt idx="5">
                  <c:v>347</c:v>
                </c:pt>
                <c:pt idx="6">
                  <c:v>411</c:v>
                </c:pt>
                <c:pt idx="7">
                  <c:v>474</c:v>
                </c:pt>
                <c:pt idx="8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50-449B-BDB2-FB97CB1E402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0438111"/>
        <c:axId val="630438591"/>
      </c:lineChart>
      <c:catAx>
        <c:axId val="630438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FAMILY INCOME (1% - 85% SMI)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38591"/>
        <c:crosses val="autoZero"/>
        <c:auto val="1"/>
        <c:lblAlgn val="ctr"/>
        <c:lblOffset val="100"/>
        <c:noMultiLvlLbl val="0"/>
      </c:catAx>
      <c:valAx>
        <c:axId val="63043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PARENT</a:t>
                </a:r>
                <a:r>
                  <a:rPr lang="en-US" baseline="0"/>
                  <a:t> SHARE OF OST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3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60960</xdr:rowOff>
    </xdr:from>
    <xdr:to>
      <xdr:col>11</xdr:col>
      <xdr:colOff>259080</xdr:colOff>
      <xdr:row>24</xdr:row>
      <xdr:rowOff>22860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D66A72-7997-463C-AD31-04AD1AD6B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182880</xdr:colOff>
      <xdr:row>25</xdr:row>
      <xdr:rowOff>30480</xdr:rowOff>
    </xdr:from>
    <xdr:to>
      <xdr:col>11</xdr:col>
      <xdr:colOff>259080</xdr:colOff>
      <xdr:row>47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2C1F74-39A8-4499-ABB5-514B2377C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0</xdr:row>
      <xdr:rowOff>53340</xdr:rowOff>
    </xdr:from>
    <xdr:to>
      <xdr:col>12</xdr:col>
      <xdr:colOff>556260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49A07-CDC1-5BDF-C334-7B31679CE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20</xdr:row>
      <xdr:rowOff>15240</xdr:rowOff>
    </xdr:from>
    <xdr:to>
      <xdr:col>12</xdr:col>
      <xdr:colOff>548640</xdr:colOff>
      <xdr:row>40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D87F49-71AE-45FA-AE14-713673899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198120</xdr:colOff>
      <xdr:row>42</xdr:row>
      <xdr:rowOff>7620</xdr:rowOff>
    </xdr:from>
    <xdr:to>
      <xdr:col>12</xdr:col>
      <xdr:colOff>556260</xdr:colOff>
      <xdr:row>62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DF4C6F-170C-411D-880F-E7DB5019D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BC2789-9CE1-4248-857C-FB985A4BDCE7}" name="SMI" displayName="SMI" ref="A1:B16" totalsRowShown="0">
  <autoFilter ref="A1:B16" xr:uid="{D2E88AB2-484E-4435-B267-5635F1F8A2A7}"/>
  <tableColumns count="2">
    <tableColumn id="1" xr3:uid="{D6ADCAFB-F31C-41F9-A2ED-E9C6CD02271C}" name="Family Size"/>
    <tableColumn id="2" xr3:uid="{2EAAC4F6-2D6E-400F-84DE-3BDCE418FBAC}" name="100% SMI per Family Size" dataDxfId="2" dataCellStyle="Currency">
      <calculatedColumnFormula>F2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xas-sos.appianportalsgov.com/rules-and-meetings?recordId=210288&amp;queryAsDate=08%2F18%2F2025&amp;interface=VIEW_TAC_SUMMARY&amp;$locale=en_U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exas-sos.appianportalsgov.com/rules-and-meetings?recordId=210290&amp;queryAsDate=08%2F18%2F2025&amp;interface=VIEW_TAC_SUMMARY&amp;$locale=en_US" TargetMode="External"/><Relationship Id="rId1" Type="http://schemas.openxmlformats.org/officeDocument/2006/relationships/hyperlink" Target="https://texas-sos.appianportalsgov.com/rules-and-meetings?$locale=en_US&amp;interface=VIEW_TAC_SUMMARY&amp;queryAsDate=08%2F18%2F2025&amp;recordId=219862" TargetMode="External"/><Relationship Id="rId6" Type="http://schemas.openxmlformats.org/officeDocument/2006/relationships/hyperlink" Target="https://texas-sos.appianportalsgov.com/rules-and-meetings?recordId=220441&amp;queryAsDate=08%2F18%2F2025&amp;interface=VIEW_TAC_SUMMARY&amp;$locale=en_US" TargetMode="External"/><Relationship Id="rId5" Type="http://schemas.openxmlformats.org/officeDocument/2006/relationships/hyperlink" Target="https://texas-sos.appianportalsgov.com/rules-and-meetings?recordId=220441&amp;queryAsDate=08%2F18%2F2025&amp;interface=VIEW_TAC_SUMMARY&amp;$locale=en_US" TargetMode="External"/><Relationship Id="rId4" Type="http://schemas.openxmlformats.org/officeDocument/2006/relationships/hyperlink" Target="https://texas-sos.appianportalsgov.com/rules-and-meetings?recordId=220441&amp;queryAsDate=08%2F18%2F2025&amp;interface=VIEW_TAC_SUMMARY&amp;$locale=en_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4907-057D-4C58-88CF-C2D0EDF3769B}">
  <dimension ref="A1:J24"/>
  <sheetViews>
    <sheetView tabSelected="1" zoomScale="90" zoomScaleNormal="80" workbookViewId="0">
      <selection activeCell="F6" sqref="F6"/>
    </sheetView>
  </sheetViews>
  <sheetFormatPr defaultColWidth="8.85546875" defaultRowHeight="30" customHeight="1" x14ac:dyDescent="0.35"/>
  <cols>
    <col min="1" max="1" width="67.42578125" style="32" customWidth="1"/>
    <col min="2" max="2" width="15.7109375" style="31" bestFit="1" customWidth="1"/>
    <col min="3" max="3" width="2.5703125" style="12" customWidth="1"/>
    <col min="4" max="4" width="47.140625" style="12" customWidth="1"/>
    <col min="5" max="5" width="8.85546875" style="12"/>
    <col min="6" max="6" width="15.7109375" style="12" bestFit="1" customWidth="1"/>
    <col min="7" max="16384" width="8.85546875" style="12"/>
  </cols>
  <sheetData>
    <row r="1" spans="1:10" ht="45.6" customHeight="1" thickBot="1" x14ac:dyDescent="0.4">
      <c r="A1" s="63" t="s">
        <v>107</v>
      </c>
      <c r="D1" s="32" t="s">
        <v>0</v>
      </c>
    </row>
    <row r="2" spans="1:10" ht="30" customHeight="1" x14ac:dyDescent="0.35">
      <c r="A2" s="14" t="s">
        <v>1</v>
      </c>
      <c r="B2" s="21"/>
      <c r="D2" s="33" t="s">
        <v>2</v>
      </c>
    </row>
    <row r="3" spans="1:10" ht="30" customHeight="1" x14ac:dyDescent="0.35">
      <c r="A3" s="15" t="s">
        <v>3</v>
      </c>
      <c r="B3" s="22"/>
      <c r="D3" s="33" t="s">
        <v>4</v>
      </c>
      <c r="F3" s="60"/>
    </row>
    <row r="4" spans="1:10" ht="30" customHeight="1" thickBot="1" x14ac:dyDescent="0.4">
      <c r="A4" s="16" t="s">
        <v>5</v>
      </c>
      <c r="B4" s="23"/>
      <c r="C4" s="13"/>
      <c r="D4" s="39" t="s">
        <v>6</v>
      </c>
    </row>
    <row r="5" spans="1:10" ht="10.15" customHeight="1" thickBot="1" x14ac:dyDescent="0.4">
      <c r="A5" s="17"/>
      <c r="B5" s="34"/>
      <c r="C5" s="13"/>
      <c r="D5" s="32"/>
    </row>
    <row r="6" spans="1:10" ht="30" customHeight="1" x14ac:dyDescent="0.35">
      <c r="A6" s="14" t="s">
        <v>7</v>
      </c>
      <c r="B6" s="24">
        <f>Calculations!B5</f>
        <v>0</v>
      </c>
      <c r="D6" s="33" t="s">
        <v>8</v>
      </c>
    </row>
    <row r="7" spans="1:10" ht="30" customHeight="1" thickBot="1" x14ac:dyDescent="0.4">
      <c r="A7" s="16" t="s">
        <v>9</v>
      </c>
      <c r="B7" s="19" t="str">
        <f>Calculations!B6</f>
        <v>Yes</v>
      </c>
      <c r="D7" s="32"/>
    </row>
    <row r="8" spans="1:10" ht="10.15" customHeight="1" thickBot="1" x14ac:dyDescent="0.4">
      <c r="A8" s="18"/>
      <c r="B8" s="20"/>
      <c r="D8" s="32"/>
    </row>
    <row r="9" spans="1:10" ht="30" customHeight="1" x14ac:dyDescent="0.35">
      <c r="A9" s="14" t="s">
        <v>51</v>
      </c>
      <c r="B9" s="25">
        <f>Calculations!B8</f>
        <v>0</v>
      </c>
      <c r="D9" s="35"/>
    </row>
    <row r="10" spans="1:10" ht="30" customHeight="1" thickBot="1" x14ac:dyDescent="0.4">
      <c r="A10" s="16" t="s">
        <v>10</v>
      </c>
      <c r="B10" s="26">
        <f>Calculations!B7</f>
        <v>0</v>
      </c>
      <c r="D10" s="33" t="s">
        <v>11</v>
      </c>
      <c r="E10" s="36"/>
      <c r="J10" s="37"/>
    </row>
    <row r="11" spans="1:10" ht="10.15" customHeight="1" thickBot="1" x14ac:dyDescent="0.4">
      <c r="D11" s="35"/>
    </row>
    <row r="12" spans="1:10" ht="30" customHeight="1" x14ac:dyDescent="0.35">
      <c r="A12" s="14" t="s">
        <v>12</v>
      </c>
      <c r="B12" s="27">
        <f>IF(Calculations!B9=-1,0,Calculations!B9)</f>
        <v>0</v>
      </c>
      <c r="D12" s="35"/>
    </row>
    <row r="13" spans="1:10" ht="30" customHeight="1" x14ac:dyDescent="0.35">
      <c r="A13" s="15" t="s">
        <v>52</v>
      </c>
      <c r="B13" s="28">
        <f>Calculations!B11</f>
        <v>0</v>
      </c>
      <c r="D13" s="35"/>
    </row>
    <row r="14" spans="1:10" ht="30" customHeight="1" thickBot="1" x14ac:dyDescent="0.4">
      <c r="A14" s="16" t="s">
        <v>13</v>
      </c>
      <c r="B14" s="26">
        <f>Calculations!B10</f>
        <v>0</v>
      </c>
      <c r="D14" s="33" t="s">
        <v>11</v>
      </c>
    </row>
    <row r="15" spans="1:10" ht="10.15" customHeight="1" thickBot="1" x14ac:dyDescent="0.4">
      <c r="A15" s="18"/>
      <c r="B15" s="29"/>
      <c r="D15" s="35"/>
    </row>
    <row r="16" spans="1:10" ht="30" customHeight="1" x14ac:dyDescent="0.35">
      <c r="A16" s="14" t="s">
        <v>14</v>
      </c>
      <c r="B16" s="30">
        <f>Calculations!B13</f>
        <v>0</v>
      </c>
      <c r="D16" s="35"/>
    </row>
    <row r="17" spans="1:6" ht="30" customHeight="1" x14ac:dyDescent="0.35">
      <c r="A17" s="61" t="s">
        <v>15</v>
      </c>
      <c r="B17" s="62">
        <f>ROUND((B16/22)*5,0)</f>
        <v>0</v>
      </c>
      <c r="D17" s="35"/>
    </row>
    <row r="18" spans="1:6" ht="30" customHeight="1" thickBot="1" x14ac:dyDescent="0.4">
      <c r="A18" s="16" t="s">
        <v>16</v>
      </c>
      <c r="B18" s="26">
        <f>Calculations!B12</f>
        <v>0</v>
      </c>
      <c r="D18" s="33" t="s">
        <v>11</v>
      </c>
    </row>
    <row r="19" spans="1:6" ht="30" customHeight="1" x14ac:dyDescent="0.35">
      <c r="B19" s="38"/>
    </row>
    <row r="20" spans="1:6" ht="30" customHeight="1" x14ac:dyDescent="0.35">
      <c r="B20" s="59"/>
      <c r="D20" s="60"/>
      <c r="F20" s="36"/>
    </row>
    <row r="21" spans="1:6" ht="30" customHeight="1" x14ac:dyDescent="0.35">
      <c r="B21" s="59"/>
      <c r="D21" s="60"/>
    </row>
    <row r="22" spans="1:6" ht="30" customHeight="1" x14ac:dyDescent="0.35">
      <c r="B22" s="59"/>
    </row>
    <row r="23" spans="1:6" ht="30" customHeight="1" x14ac:dyDescent="0.35">
      <c r="B23" s="59"/>
    </row>
    <row r="24" spans="1:6" ht="30" customHeight="1" x14ac:dyDescent="0.35">
      <c r="B24" s="59"/>
    </row>
  </sheetData>
  <sheetProtection sheet="1" objects="1" scenarios="1"/>
  <conditionalFormatting sqref="B7:B9">
    <cfRule type="containsText" dxfId="1" priority="2" operator="containsText" text="No">
      <formula>NOT(ISERROR(SEARCH("No",B7)))</formula>
    </cfRule>
  </conditionalFormatting>
  <dataValidations xWindow="739" yWindow="309" count="3">
    <dataValidation type="whole" operator="lessThan" showInputMessage="1" showErrorMessage="1" errorTitle="Error" error="Number of children in care must be less than the family size" promptTitle="Children Recieving Care" prompt="Enter the number of children receiving child care.  This number must be lower than the Family Size." sqref="B4" xr:uid="{15E98EC1-55D5-47DF-8743-E8E775DA2527}">
      <formula1>B2</formula1>
    </dataValidation>
    <dataValidation allowBlank="1" showInputMessage="1" showErrorMessage="1" promptTitle="Family Size" prompt="Enter the number of all household residents: this includes the parent or parents, plus all household dependents, including dependents not receiving child care." sqref="B2" xr:uid="{57737D77-6D18-4938-AD6B-D7AD5CE99496}"/>
    <dataValidation allowBlank="1" showInputMessage="1" showErrorMessage="1" promptTitle="Monthly Income" prompt="Enter the family monthly income amount." sqref="B3" xr:uid="{1C83D54F-46A6-4405-9644-8FBCAD73BCF0}"/>
  </dataValidations>
  <hyperlinks>
    <hyperlink ref="D2" r:id="rId1" xr:uid="{7C5753FA-B3C4-432A-AD62-6D946835987B}"/>
    <hyperlink ref="D3" r:id="rId2" xr:uid="{567CBE4B-82E8-4E12-849F-99D320DDCB10}"/>
    <hyperlink ref="D6" r:id="rId3" xr:uid="{29E03A3E-79EF-4FF4-8E2B-E09B96BC4FA0}"/>
    <hyperlink ref="D10" r:id="rId4" xr:uid="{041AAC7E-72F1-4084-826B-F452B0F1BD0B}"/>
    <hyperlink ref="D14" r:id="rId5" xr:uid="{8C4FF3C4-195A-4279-95AA-711132D52826}"/>
    <hyperlink ref="D18" r:id="rId6" xr:uid="{283CE2CF-0728-495A-9D8A-A035FFECA1F5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0BA6-D60E-4939-8781-87731A4BE5B2}">
  <sheetPr>
    <pageSetUpPr fitToPage="1"/>
  </sheetPr>
  <dimension ref="A1:S97"/>
  <sheetViews>
    <sheetView zoomScaleNormal="100" workbookViewId="0">
      <selection activeCell="C20" sqref="C20"/>
    </sheetView>
  </sheetViews>
  <sheetFormatPr defaultColWidth="8.85546875" defaultRowHeight="15" x14ac:dyDescent="0.25"/>
  <cols>
    <col min="1" max="1" width="36.5703125" style="48" customWidth="1"/>
    <col min="2" max="2" width="9.42578125" style="48" customWidth="1"/>
    <col min="3" max="3" width="10" style="48" customWidth="1"/>
    <col min="4" max="4" width="10.42578125" style="48" bestFit="1" customWidth="1"/>
    <col min="5" max="9" width="10.42578125" style="48" customWidth="1"/>
    <col min="10" max="10" width="10.42578125" style="48" bestFit="1" customWidth="1"/>
    <col min="11" max="16384" width="8.85546875" style="48"/>
  </cols>
  <sheetData>
    <row r="1" spans="1:11" ht="18" customHeight="1" thickBot="1" x14ac:dyDescent="0.35">
      <c r="A1" s="58" t="s">
        <v>106</v>
      </c>
      <c r="D1" s="57"/>
      <c r="E1" s="57"/>
      <c r="F1" s="57"/>
      <c r="G1" s="57"/>
      <c r="H1" s="57"/>
      <c r="I1" s="57"/>
      <c r="J1" s="57"/>
    </row>
    <row r="2" spans="1:11" ht="14.45" customHeight="1" thickBot="1" x14ac:dyDescent="0.3">
      <c r="A2" s="187" t="s">
        <v>17</v>
      </c>
      <c r="B2" s="188">
        <v>0.01</v>
      </c>
      <c r="C2" s="188">
        <v>0.15</v>
      </c>
      <c r="D2" s="188">
        <v>0.25</v>
      </c>
      <c r="E2" s="188">
        <v>0.35</v>
      </c>
      <c r="F2" s="188">
        <v>0.45</v>
      </c>
      <c r="G2" s="188">
        <v>0.55000000000000004</v>
      </c>
      <c r="H2" s="188">
        <v>0.65</v>
      </c>
      <c r="I2" s="188">
        <v>0.75</v>
      </c>
      <c r="J2" s="189">
        <v>0.85</v>
      </c>
      <c r="K2"/>
    </row>
    <row r="3" spans="1:11" ht="14.45" customHeight="1" x14ac:dyDescent="0.25">
      <c r="A3" s="177" t="s">
        <v>53</v>
      </c>
      <c r="B3" s="185">
        <f>B9</f>
        <v>2.0006946544980444E-2</v>
      </c>
      <c r="C3" s="185">
        <f>C9</f>
        <v>2.9330512385919168E-2</v>
      </c>
      <c r="D3" s="185">
        <f t="shared" ref="D3:J3" si="0">D9</f>
        <v>3.5984000000000002E-2</v>
      </c>
      <c r="E3" s="185">
        <f t="shared" si="0"/>
        <v>4.264834159061278E-2</v>
      </c>
      <c r="F3" s="185">
        <f t="shared" si="0"/>
        <v>4.9312683181225558E-2</v>
      </c>
      <c r="G3" s="185">
        <f t="shared" si="0"/>
        <v>5.5966170795306386E-2</v>
      </c>
      <c r="H3" s="185">
        <f t="shared" si="0"/>
        <v>6.2630512385919171E-2</v>
      </c>
      <c r="I3" s="185">
        <f t="shared" si="0"/>
        <v>6.9283999999999998E-2</v>
      </c>
      <c r="J3" s="186">
        <f t="shared" si="0"/>
        <v>7.0000000000000007E-2</v>
      </c>
      <c r="K3" s="66"/>
    </row>
    <row r="4" spans="1:11" ht="14.45" customHeight="1" thickBot="1" x14ac:dyDescent="0.3">
      <c r="A4" s="177" t="s">
        <v>54</v>
      </c>
      <c r="B4" s="98">
        <f>B23</f>
        <v>1.503957783641173E-4</v>
      </c>
      <c r="C4" s="98">
        <f>C23</f>
        <v>2.250000000000002E-3</v>
      </c>
      <c r="D4" s="98">
        <f t="shared" ref="D4:J4" si="1">D23</f>
        <v>3.7500000000000033E-3</v>
      </c>
      <c r="E4" s="98">
        <f t="shared" si="1"/>
        <v>5.2499999999999977E-3</v>
      </c>
      <c r="F4" s="98">
        <f t="shared" si="1"/>
        <v>6.7499999999999991E-3</v>
      </c>
      <c r="G4" s="98">
        <f t="shared" si="1"/>
        <v>8.2500000000000073E-3</v>
      </c>
      <c r="H4" s="98">
        <f t="shared" si="1"/>
        <v>7.3760000000000076E-3</v>
      </c>
      <c r="I4" s="98">
        <f t="shared" si="1"/>
        <v>7.160000000000083E-4</v>
      </c>
      <c r="J4" s="178">
        <f t="shared" si="1"/>
        <v>0</v>
      </c>
    </row>
    <row r="5" spans="1:11" ht="15.75" thickBot="1" x14ac:dyDescent="0.3">
      <c r="A5" s="166" t="s">
        <v>108</v>
      </c>
      <c r="B5" s="167"/>
      <c r="C5" s="168"/>
      <c r="D5" s="169"/>
      <c r="E5" s="169"/>
      <c r="F5" s="169"/>
      <c r="G5" s="169"/>
      <c r="H5" s="169"/>
      <c r="I5" s="169"/>
      <c r="J5" s="170"/>
    </row>
    <row r="6" spans="1:11" x14ac:dyDescent="0.25">
      <c r="A6" s="171" t="s">
        <v>18</v>
      </c>
      <c r="B6" s="75">
        <f>ROUNDUP(SMI!$B3*B$2,0)</f>
        <v>62</v>
      </c>
      <c r="C6" s="76">
        <f>ROUNDUP(SMI!$B3*C$2,0)</f>
        <v>921</v>
      </c>
      <c r="D6" s="76">
        <f>ROUNDUP(SMI!$B3*D$2,0)</f>
        <v>1534</v>
      </c>
      <c r="E6" s="76">
        <f>ROUNDUP(SMI!$B3*E$2,0)</f>
        <v>2148</v>
      </c>
      <c r="F6" s="76">
        <f>ROUNDUP(SMI!$B3*F$2,0)</f>
        <v>2762</v>
      </c>
      <c r="G6" s="76">
        <f>ROUNDUP(SMI!$B3*G$2,0)</f>
        <v>3375</v>
      </c>
      <c r="H6" s="76">
        <f>ROUNDUP(SMI!$B3*H$2,0)</f>
        <v>3989</v>
      </c>
      <c r="I6" s="76">
        <f>ROUNDUP(SMI!$B3*I$2,0)</f>
        <v>4602</v>
      </c>
      <c r="J6" s="77">
        <f>ROUND(SMI!$B3*J$2,0)</f>
        <v>5216</v>
      </c>
    </row>
    <row r="7" spans="1:11" hidden="1" x14ac:dyDescent="0.25">
      <c r="A7" s="82" t="s">
        <v>67</v>
      </c>
      <c r="B7" s="123">
        <f>B6/SMI!$B$3</f>
        <v>1.0104302477183833E-2</v>
      </c>
      <c r="C7" s="124">
        <f>C6/SMI!$B$3</f>
        <v>0.15009778357235984</v>
      </c>
      <c r="D7" s="124">
        <f>D6/SMI!$B$3</f>
        <v>0.25</v>
      </c>
      <c r="E7" s="124">
        <f>E6/SMI!$B$3</f>
        <v>0.35006518904823991</v>
      </c>
      <c r="F7" s="124">
        <f>F6/SMI!$B$3</f>
        <v>0.45013037809647977</v>
      </c>
      <c r="G7" s="124">
        <f>G6/SMI!$B$3</f>
        <v>0.5500325945241199</v>
      </c>
      <c r="H7" s="124">
        <f>H6/SMI!$B$3</f>
        <v>0.65009778357235981</v>
      </c>
      <c r="I7" s="124">
        <f>I6/SMI!$B$3</f>
        <v>0.75</v>
      </c>
      <c r="J7" s="125">
        <f>ROUND(J6/SMI!$B$3,5)</f>
        <v>0.85006999999999999</v>
      </c>
    </row>
    <row r="8" spans="1:11" s="53" customFormat="1" hidden="1" x14ac:dyDescent="0.25">
      <c r="A8" s="83" t="s">
        <v>68</v>
      </c>
      <c r="B8" s="78">
        <f>IF(B7&lt;0.01,0,(((B7*100)-1)*0.000666)+0.02)</f>
        <v>2.0006946544980444E-2</v>
      </c>
      <c r="C8" s="74">
        <f>IF(C7&lt;0.01,0,(((C7*100)-1)*0.000666)+0.02)</f>
        <v>2.9330512385919168E-2</v>
      </c>
      <c r="D8" s="74">
        <f t="shared" ref="D8:I8" si="2">IF(D7&lt;0.01,0,(((D7*100)-1)*0.000666)+0.02)</f>
        <v>3.5984000000000002E-2</v>
      </c>
      <c r="E8" s="74">
        <f t="shared" si="2"/>
        <v>4.264834159061278E-2</v>
      </c>
      <c r="F8" s="74">
        <f t="shared" si="2"/>
        <v>4.9312683181225558E-2</v>
      </c>
      <c r="G8" s="74">
        <f t="shared" si="2"/>
        <v>5.5966170795306386E-2</v>
      </c>
      <c r="H8" s="74">
        <f t="shared" si="2"/>
        <v>6.2630512385919171E-2</v>
      </c>
      <c r="I8" s="74">
        <f t="shared" si="2"/>
        <v>6.9283999999999998E-2</v>
      </c>
      <c r="J8" s="79">
        <f>IF(J7&lt;0.01,0,(((J7*100)-1)*0.000666)+0.02)</f>
        <v>7.5948662E-2</v>
      </c>
    </row>
    <row r="9" spans="1:11" s="53" customFormat="1" ht="15.75" hidden="1" thickBot="1" x14ac:dyDescent="0.3">
      <c r="A9" s="84" t="s">
        <v>69</v>
      </c>
      <c r="B9" s="85">
        <f t="shared" ref="B9:J9" si="3">IF(B8&gt;0.07,0.07,B8)</f>
        <v>2.0006946544980444E-2</v>
      </c>
      <c r="C9" s="86">
        <f>IF(C8&gt;0.07,0.07,C8)</f>
        <v>2.9330512385919168E-2</v>
      </c>
      <c r="D9" s="86">
        <f t="shared" si="3"/>
        <v>3.5984000000000002E-2</v>
      </c>
      <c r="E9" s="86">
        <f t="shared" si="3"/>
        <v>4.264834159061278E-2</v>
      </c>
      <c r="F9" s="86">
        <f t="shared" si="3"/>
        <v>4.9312683181225558E-2</v>
      </c>
      <c r="G9" s="86">
        <f t="shared" si="3"/>
        <v>5.5966170795306386E-2</v>
      </c>
      <c r="H9" s="86">
        <f t="shared" si="3"/>
        <v>6.2630512385919171E-2</v>
      </c>
      <c r="I9" s="86">
        <f t="shared" si="3"/>
        <v>6.9283999999999998E-2</v>
      </c>
      <c r="J9" s="87">
        <f t="shared" si="3"/>
        <v>7.0000000000000007E-2</v>
      </c>
    </row>
    <row r="10" spans="1:11" hidden="1" x14ac:dyDescent="0.25">
      <c r="A10" s="88" t="s">
        <v>69</v>
      </c>
      <c r="B10" s="89">
        <f t="shared" ref="B10:J10" si="4">B6*0.07</f>
        <v>4.3400000000000007</v>
      </c>
      <c r="C10" s="90">
        <f t="shared" si="4"/>
        <v>64.470000000000013</v>
      </c>
      <c r="D10" s="90">
        <f t="shared" si="4"/>
        <v>107.38000000000001</v>
      </c>
      <c r="E10" s="90">
        <f t="shared" si="4"/>
        <v>150.36000000000001</v>
      </c>
      <c r="F10" s="90">
        <f t="shared" si="4"/>
        <v>193.34000000000003</v>
      </c>
      <c r="G10" s="90">
        <f t="shared" si="4"/>
        <v>236.25000000000003</v>
      </c>
      <c r="H10" s="90">
        <f t="shared" si="4"/>
        <v>279.23</v>
      </c>
      <c r="I10" s="90">
        <f t="shared" si="4"/>
        <v>322.14000000000004</v>
      </c>
      <c r="J10" s="91">
        <f t="shared" si="4"/>
        <v>365.12000000000006</v>
      </c>
    </row>
    <row r="11" spans="1:11" ht="15.75" hidden="1" thickBot="1" x14ac:dyDescent="0.3">
      <c r="A11" s="92" t="s">
        <v>72</v>
      </c>
      <c r="B11" s="93">
        <f t="shared" ref="B11:J11" si="5">B8*B6</f>
        <v>1.2404306857887875</v>
      </c>
      <c r="C11" s="94">
        <f t="shared" si="5"/>
        <v>27.013401907431554</v>
      </c>
      <c r="D11" s="94">
        <f t="shared" si="5"/>
        <v>55.199456000000005</v>
      </c>
      <c r="E11" s="94">
        <f t="shared" si="5"/>
        <v>91.608637736636254</v>
      </c>
      <c r="F11" s="94">
        <f t="shared" si="5"/>
        <v>136.20163094654498</v>
      </c>
      <c r="G11" s="94">
        <f t="shared" si="5"/>
        <v>188.88582643415904</v>
      </c>
      <c r="H11" s="94">
        <f t="shared" si="5"/>
        <v>249.83311390743157</v>
      </c>
      <c r="I11" s="94">
        <f t="shared" si="5"/>
        <v>318.84496799999999</v>
      </c>
      <c r="J11" s="95">
        <f t="shared" si="5"/>
        <v>396.14822099200001</v>
      </c>
    </row>
    <row r="12" spans="1:11" s="53" customFormat="1" x14ac:dyDescent="0.25">
      <c r="A12" s="172" t="s">
        <v>64</v>
      </c>
      <c r="B12" s="148">
        <f t="shared" ref="B12:J12" si="6">IF(ROUND(B11,0)&gt;B10,ROUND(B10,0),ROUND(B11,0))</f>
        <v>1</v>
      </c>
      <c r="C12" s="149">
        <f t="shared" si="6"/>
        <v>27</v>
      </c>
      <c r="D12" s="149">
        <f t="shared" si="6"/>
        <v>55</v>
      </c>
      <c r="E12" s="149">
        <f t="shared" si="6"/>
        <v>92</v>
      </c>
      <c r="F12" s="149">
        <f t="shared" si="6"/>
        <v>136</v>
      </c>
      <c r="G12" s="149">
        <f t="shared" si="6"/>
        <v>189</v>
      </c>
      <c r="H12" s="149">
        <f t="shared" si="6"/>
        <v>250</v>
      </c>
      <c r="I12" s="149">
        <f t="shared" si="6"/>
        <v>319</v>
      </c>
      <c r="J12" s="150">
        <f t="shared" si="6"/>
        <v>365</v>
      </c>
    </row>
    <row r="13" spans="1:11" ht="15.75" thickBot="1" x14ac:dyDescent="0.3">
      <c r="A13" s="173" t="s">
        <v>90</v>
      </c>
      <c r="B13" s="151">
        <f>ROUND((B12/22)*5,0)</f>
        <v>0</v>
      </c>
      <c r="C13" s="152">
        <f>ROUND((C12/22)*5,0)</f>
        <v>6</v>
      </c>
      <c r="D13" s="152">
        <f t="shared" ref="D13:J13" si="7">ROUND((D12/22)*5,0)</f>
        <v>13</v>
      </c>
      <c r="E13" s="152">
        <f t="shared" si="7"/>
        <v>21</v>
      </c>
      <c r="F13" s="152">
        <f t="shared" si="7"/>
        <v>31</v>
      </c>
      <c r="G13" s="152">
        <f t="shared" si="7"/>
        <v>43</v>
      </c>
      <c r="H13" s="152">
        <f t="shared" si="7"/>
        <v>57</v>
      </c>
      <c r="I13" s="152">
        <f t="shared" si="7"/>
        <v>73</v>
      </c>
      <c r="J13" s="153">
        <f t="shared" si="7"/>
        <v>83</v>
      </c>
    </row>
    <row r="14" spans="1:11" ht="15.75" thickBot="1" x14ac:dyDescent="0.3">
      <c r="A14" s="166" t="s">
        <v>109</v>
      </c>
      <c r="B14" s="167"/>
      <c r="C14" s="168"/>
      <c r="D14" s="169"/>
      <c r="E14" s="169"/>
      <c r="F14" s="169"/>
      <c r="G14" s="169"/>
      <c r="H14" s="169"/>
      <c r="I14" s="169"/>
      <c r="J14" s="170"/>
    </row>
    <row r="15" spans="1:11" x14ac:dyDescent="0.25">
      <c r="A15" s="179" t="s">
        <v>18</v>
      </c>
      <c r="B15" s="163">
        <f>ROUNDUP(SMI!$B4*B$2,0)</f>
        <v>76</v>
      </c>
      <c r="C15" s="164">
        <f>ROUNDUP(SMI!$B4*C$2,0)</f>
        <v>1137</v>
      </c>
      <c r="D15" s="164">
        <f>ROUNDUP(SMI!$B4*D$2,0)</f>
        <v>1895</v>
      </c>
      <c r="E15" s="164">
        <f>ROUNDUP(SMI!$B4*E$2,0)</f>
        <v>2653</v>
      </c>
      <c r="F15" s="164">
        <f>ROUNDUP(SMI!$B4*F$2,0)</f>
        <v>3411</v>
      </c>
      <c r="G15" s="164">
        <f>ROUNDUP(SMI!$B4*G$2,0)</f>
        <v>4169</v>
      </c>
      <c r="H15" s="164">
        <f>ROUNDUP(SMI!$B4*H$2,0)</f>
        <v>4927</v>
      </c>
      <c r="I15" s="164">
        <f>ROUNDUP(SMI!$B4*I$2,0)</f>
        <v>5685</v>
      </c>
      <c r="J15" s="165">
        <f>ROUND(SMI!$B4*J$2,0)</f>
        <v>6443</v>
      </c>
    </row>
    <row r="16" spans="1:11" hidden="1" x14ac:dyDescent="0.25">
      <c r="A16" s="82" t="s">
        <v>31</v>
      </c>
      <c r="B16" s="123">
        <f>B15/SMI!$B$4</f>
        <v>1.0026385224274407E-2</v>
      </c>
      <c r="C16" s="124">
        <f>C15/SMI!$B$4</f>
        <v>0.15</v>
      </c>
      <c r="D16" s="124">
        <f>D15/SMI!$B$4</f>
        <v>0.25</v>
      </c>
      <c r="E16" s="124">
        <f>E15/SMI!$B$4</f>
        <v>0.35</v>
      </c>
      <c r="F16" s="124">
        <f>F15/SMI!$B$4</f>
        <v>0.45</v>
      </c>
      <c r="G16" s="124">
        <f>G15/SMI!$B$4</f>
        <v>0.55000000000000004</v>
      </c>
      <c r="H16" s="124">
        <f>H15/SMI!$B$4</f>
        <v>0.65</v>
      </c>
      <c r="I16" s="124">
        <f>I15/SMI!$B$4</f>
        <v>0.75</v>
      </c>
      <c r="J16" s="125">
        <f>J15/SMI!$B$4</f>
        <v>0.85</v>
      </c>
    </row>
    <row r="17" spans="1:19" hidden="1" x14ac:dyDescent="0.25">
      <c r="A17" s="83" t="s">
        <v>74</v>
      </c>
      <c r="B17" s="78">
        <f>IF(B16&lt;0.01,0,(((B16*100)-1)*0.000666)+0.02)</f>
        <v>2.0001757255936677E-2</v>
      </c>
      <c r="C17" s="74">
        <f>IF(C16&lt;0.01,0,(((C16*100)-1)*0.000666)+0.02)</f>
        <v>2.9324000000000003E-2</v>
      </c>
      <c r="D17" s="74">
        <f t="shared" ref="D17:J17" si="8">IF(D16&lt;0.01,0,(((D16*100)-1)*0.000666)+0.02)</f>
        <v>3.5984000000000002E-2</v>
      </c>
      <c r="E17" s="74">
        <f t="shared" si="8"/>
        <v>4.2644000000000001E-2</v>
      </c>
      <c r="F17" s="74">
        <f t="shared" si="8"/>
        <v>4.9304000000000001E-2</v>
      </c>
      <c r="G17" s="74">
        <f t="shared" si="8"/>
        <v>5.5964000000000014E-2</v>
      </c>
      <c r="H17" s="74">
        <f t="shared" si="8"/>
        <v>6.2623999999999999E-2</v>
      </c>
      <c r="I17" s="74">
        <f t="shared" si="8"/>
        <v>6.9283999999999998E-2</v>
      </c>
      <c r="J17" s="79">
        <f t="shared" si="8"/>
        <v>7.5943999999999998E-2</v>
      </c>
      <c r="L17" s="64"/>
      <c r="M17" s="64"/>
    </row>
    <row r="18" spans="1:19" ht="15.75" hidden="1" thickBot="1" x14ac:dyDescent="0.3">
      <c r="A18" s="84" t="s">
        <v>75</v>
      </c>
      <c r="B18" s="121">
        <f>IF(B17&gt;0.07,0.07,B17)</f>
        <v>2.0001757255936677E-2</v>
      </c>
      <c r="C18" s="99">
        <f t="shared" ref="C18:J18" si="9">IF(C17&gt;0.07,0.07,C17)</f>
        <v>2.9324000000000003E-2</v>
      </c>
      <c r="D18" s="99">
        <f t="shared" si="9"/>
        <v>3.5984000000000002E-2</v>
      </c>
      <c r="E18" s="99">
        <f t="shared" si="9"/>
        <v>4.2644000000000001E-2</v>
      </c>
      <c r="F18" s="99">
        <f t="shared" si="9"/>
        <v>4.9304000000000001E-2</v>
      </c>
      <c r="G18" s="99">
        <f t="shared" si="9"/>
        <v>5.5964000000000014E-2</v>
      </c>
      <c r="H18" s="99">
        <f t="shared" si="9"/>
        <v>6.2623999999999999E-2</v>
      </c>
      <c r="I18" s="99">
        <f t="shared" si="9"/>
        <v>6.9283999999999998E-2</v>
      </c>
      <c r="J18" s="100">
        <f t="shared" si="9"/>
        <v>7.0000000000000007E-2</v>
      </c>
      <c r="L18" s="64"/>
      <c r="M18" s="64"/>
    </row>
    <row r="19" spans="1:19" hidden="1" x14ac:dyDescent="0.25">
      <c r="A19" s="88" t="s">
        <v>75</v>
      </c>
      <c r="B19" s="89">
        <f t="shared" ref="B19:J19" si="10">B15*0.07</f>
        <v>5.32</v>
      </c>
      <c r="C19" s="90">
        <f t="shared" si="10"/>
        <v>79.59</v>
      </c>
      <c r="D19" s="90">
        <f t="shared" si="10"/>
        <v>132.65</v>
      </c>
      <c r="E19" s="90">
        <f t="shared" si="10"/>
        <v>185.71</v>
      </c>
      <c r="F19" s="90">
        <f t="shared" si="10"/>
        <v>238.77</v>
      </c>
      <c r="G19" s="90">
        <f t="shared" si="10"/>
        <v>291.83000000000004</v>
      </c>
      <c r="H19" s="90">
        <f t="shared" si="10"/>
        <v>344.89000000000004</v>
      </c>
      <c r="I19" s="90">
        <f t="shared" si="10"/>
        <v>397.95000000000005</v>
      </c>
      <c r="J19" s="91">
        <f t="shared" si="10"/>
        <v>451.01000000000005</v>
      </c>
    </row>
    <row r="20" spans="1:19" hidden="1" x14ac:dyDescent="0.25">
      <c r="A20" s="96" t="s">
        <v>71</v>
      </c>
      <c r="B20" s="80">
        <f t="shared" ref="B20:J20" si="11">B17*B15</f>
        <v>1.5201335514511873</v>
      </c>
      <c r="C20" s="56">
        <f t="shared" si="11"/>
        <v>33.341388000000002</v>
      </c>
      <c r="D20" s="56">
        <f t="shared" si="11"/>
        <v>68.18968000000001</v>
      </c>
      <c r="E20" s="56">
        <f t="shared" si="11"/>
        <v>113.13453200000001</v>
      </c>
      <c r="F20" s="56">
        <f t="shared" si="11"/>
        <v>168.17594400000002</v>
      </c>
      <c r="G20" s="56">
        <f t="shared" si="11"/>
        <v>233.31391600000006</v>
      </c>
      <c r="H20" s="56">
        <f t="shared" si="11"/>
        <v>308.54844800000001</v>
      </c>
      <c r="I20" s="56">
        <f t="shared" si="11"/>
        <v>393.87953999999996</v>
      </c>
      <c r="J20" s="81">
        <f t="shared" si="11"/>
        <v>489.30719199999999</v>
      </c>
    </row>
    <row r="21" spans="1:19" s="53" customFormat="1" ht="15.75" hidden="1" thickBot="1" x14ac:dyDescent="0.3">
      <c r="A21" s="96" t="s">
        <v>73</v>
      </c>
      <c r="B21" s="101">
        <f t="shared" ref="B21:J21" si="12">IF(B20&gt;B19,B19,B20)</f>
        <v>1.5201335514511873</v>
      </c>
      <c r="C21" s="102">
        <f t="shared" si="12"/>
        <v>33.341388000000002</v>
      </c>
      <c r="D21" s="102">
        <f t="shared" si="12"/>
        <v>68.18968000000001</v>
      </c>
      <c r="E21" s="102">
        <f t="shared" si="12"/>
        <v>113.13453200000001</v>
      </c>
      <c r="F21" s="102">
        <f t="shared" si="12"/>
        <v>168.17594400000002</v>
      </c>
      <c r="G21" s="102">
        <f t="shared" si="12"/>
        <v>233.31391600000006</v>
      </c>
      <c r="H21" s="102">
        <f t="shared" si="12"/>
        <v>308.54844800000001</v>
      </c>
      <c r="I21" s="102">
        <f t="shared" si="12"/>
        <v>393.87953999999996</v>
      </c>
      <c r="J21" s="103">
        <f t="shared" si="12"/>
        <v>451.01000000000005</v>
      </c>
    </row>
    <row r="22" spans="1:19" s="55" customFormat="1" hidden="1" x14ac:dyDescent="0.25">
      <c r="A22" s="107" t="s">
        <v>79</v>
      </c>
      <c r="B22" s="115">
        <f t="shared" ref="B22:J22" si="13">B16*0.015</f>
        <v>1.5039577836411611E-4</v>
      </c>
      <c r="C22" s="108">
        <f t="shared" si="13"/>
        <v>2.2499999999999998E-3</v>
      </c>
      <c r="D22" s="108">
        <f t="shared" si="13"/>
        <v>3.7499999999999999E-3</v>
      </c>
      <c r="E22" s="108">
        <f t="shared" si="13"/>
        <v>5.2499999999999995E-3</v>
      </c>
      <c r="F22" s="108">
        <f t="shared" si="13"/>
        <v>6.7499999999999999E-3</v>
      </c>
      <c r="G22" s="108">
        <f t="shared" si="13"/>
        <v>8.2500000000000004E-3</v>
      </c>
      <c r="H22" s="108">
        <f t="shared" si="13"/>
        <v>9.75E-3</v>
      </c>
      <c r="I22" s="108">
        <f t="shared" si="13"/>
        <v>1.125E-2</v>
      </c>
      <c r="J22" s="109">
        <f t="shared" si="13"/>
        <v>1.2749999999999999E-2</v>
      </c>
    </row>
    <row r="23" spans="1:19" s="53" customFormat="1" hidden="1" x14ac:dyDescent="0.25">
      <c r="A23" s="110" t="s">
        <v>70</v>
      </c>
      <c r="B23" s="116">
        <f>IF(B25-B17&lt;0,0,B25-B17)</f>
        <v>1.503957783641173E-4</v>
      </c>
      <c r="C23" s="105">
        <f>IF(C25-C17&lt;0,0,C25-C17)</f>
        <v>2.250000000000002E-3</v>
      </c>
      <c r="D23" s="105">
        <f t="shared" ref="D23:J23" si="14">IF(D25-D17&lt;0,0,D25-D17)</f>
        <v>3.7500000000000033E-3</v>
      </c>
      <c r="E23" s="105">
        <f t="shared" si="14"/>
        <v>5.2499999999999977E-3</v>
      </c>
      <c r="F23" s="105">
        <f t="shared" si="14"/>
        <v>6.7499999999999991E-3</v>
      </c>
      <c r="G23" s="105">
        <f t="shared" si="14"/>
        <v>8.2500000000000073E-3</v>
      </c>
      <c r="H23" s="105">
        <f t="shared" si="14"/>
        <v>7.3760000000000076E-3</v>
      </c>
      <c r="I23" s="105">
        <f t="shared" si="14"/>
        <v>7.160000000000083E-4</v>
      </c>
      <c r="J23" s="111">
        <f t="shared" si="14"/>
        <v>0</v>
      </c>
    </row>
    <row r="24" spans="1:19" s="53" customFormat="1" hidden="1" x14ac:dyDescent="0.25">
      <c r="A24" s="110" t="s">
        <v>82</v>
      </c>
      <c r="B24" s="116">
        <f t="shared" ref="B24:J24" si="15">B17+B22</f>
        <v>2.0152153034300794E-2</v>
      </c>
      <c r="C24" s="105">
        <f t="shared" si="15"/>
        <v>3.1574000000000005E-2</v>
      </c>
      <c r="D24" s="105">
        <f t="shared" si="15"/>
        <v>3.9734000000000005E-2</v>
      </c>
      <c r="E24" s="105">
        <f t="shared" si="15"/>
        <v>4.7893999999999999E-2</v>
      </c>
      <c r="F24" s="105">
        <f t="shared" si="15"/>
        <v>5.6054E-2</v>
      </c>
      <c r="G24" s="105">
        <f t="shared" si="15"/>
        <v>6.4214000000000021E-2</v>
      </c>
      <c r="H24" s="105">
        <f t="shared" si="15"/>
        <v>7.2373999999999994E-2</v>
      </c>
      <c r="I24" s="105">
        <f t="shared" si="15"/>
        <v>8.0533999999999994E-2</v>
      </c>
      <c r="J24" s="111">
        <f t="shared" si="15"/>
        <v>8.8693999999999995E-2</v>
      </c>
    </row>
    <row r="25" spans="1:19" s="53" customFormat="1" ht="15.75" hidden="1" thickBot="1" x14ac:dyDescent="0.3">
      <c r="A25" s="112" t="s">
        <v>77</v>
      </c>
      <c r="B25" s="117">
        <f>IF(B24&gt;0.07,0.07,B24)</f>
        <v>2.0152153034300794E-2</v>
      </c>
      <c r="C25" s="113">
        <f>IF(C24&gt;0.07,0.07,C24)</f>
        <v>3.1574000000000005E-2</v>
      </c>
      <c r="D25" s="113">
        <f t="shared" ref="D25:I25" si="16">IF(D24&gt;0.07,0.07,D24)</f>
        <v>3.9734000000000005E-2</v>
      </c>
      <c r="E25" s="113">
        <f t="shared" si="16"/>
        <v>4.7893999999999999E-2</v>
      </c>
      <c r="F25" s="113">
        <f t="shared" si="16"/>
        <v>5.6054E-2</v>
      </c>
      <c r="G25" s="113">
        <f t="shared" si="16"/>
        <v>6.4214000000000021E-2</v>
      </c>
      <c r="H25" s="113">
        <f t="shared" si="16"/>
        <v>7.0000000000000007E-2</v>
      </c>
      <c r="I25" s="113">
        <f t="shared" si="16"/>
        <v>7.0000000000000007E-2</v>
      </c>
      <c r="J25" s="114">
        <f>IF(J24&gt;0.07,0.07,J24)</f>
        <v>7.0000000000000007E-2</v>
      </c>
    </row>
    <row r="26" spans="1:19" s="53" customFormat="1" ht="15.75" hidden="1" thickBot="1" x14ac:dyDescent="0.3">
      <c r="A26" s="118" t="s">
        <v>20</v>
      </c>
      <c r="B26" s="122">
        <f t="shared" ref="B26:J26" si="17">B23*B15</f>
        <v>1.1430079155672915E-2</v>
      </c>
      <c r="C26" s="119">
        <f t="shared" si="17"/>
        <v>2.5582500000000024</v>
      </c>
      <c r="D26" s="119">
        <f t="shared" si="17"/>
        <v>7.1062500000000064</v>
      </c>
      <c r="E26" s="119">
        <f t="shared" si="17"/>
        <v>13.928249999999993</v>
      </c>
      <c r="F26" s="119">
        <f t="shared" si="17"/>
        <v>23.024249999999999</v>
      </c>
      <c r="G26" s="119">
        <f t="shared" si="17"/>
        <v>34.394250000000028</v>
      </c>
      <c r="H26" s="119">
        <f t="shared" si="17"/>
        <v>36.341552000000036</v>
      </c>
      <c r="I26" s="119">
        <f t="shared" si="17"/>
        <v>4.0704600000000468</v>
      </c>
      <c r="J26" s="120">
        <f t="shared" si="17"/>
        <v>0</v>
      </c>
    </row>
    <row r="27" spans="1:19" s="53" customFormat="1" x14ac:dyDescent="0.25">
      <c r="A27" s="172" t="s">
        <v>64</v>
      </c>
      <c r="B27" s="154">
        <f t="shared" ref="B27:J27" si="18">ROUND(B21,0)</f>
        <v>2</v>
      </c>
      <c r="C27" s="155">
        <f t="shared" si="18"/>
        <v>33</v>
      </c>
      <c r="D27" s="155">
        <f t="shared" si="18"/>
        <v>68</v>
      </c>
      <c r="E27" s="155">
        <f t="shared" si="18"/>
        <v>113</v>
      </c>
      <c r="F27" s="155">
        <f t="shared" si="18"/>
        <v>168</v>
      </c>
      <c r="G27" s="155">
        <f t="shared" si="18"/>
        <v>233</v>
      </c>
      <c r="H27" s="155">
        <f t="shared" si="18"/>
        <v>309</v>
      </c>
      <c r="I27" s="155">
        <f t="shared" si="18"/>
        <v>394</v>
      </c>
      <c r="J27" s="156">
        <f t="shared" si="18"/>
        <v>451</v>
      </c>
    </row>
    <row r="28" spans="1:19" x14ac:dyDescent="0.25">
      <c r="A28" s="172" t="s">
        <v>90</v>
      </c>
      <c r="B28" s="157">
        <f t="shared" ref="B28:J28" si="19">ROUND((B27/22)*5,0)</f>
        <v>0</v>
      </c>
      <c r="C28" s="158">
        <f t="shared" si="19"/>
        <v>8</v>
      </c>
      <c r="D28" s="158">
        <f t="shared" si="19"/>
        <v>15</v>
      </c>
      <c r="E28" s="158">
        <f t="shared" si="19"/>
        <v>26</v>
      </c>
      <c r="F28" s="158">
        <f t="shared" si="19"/>
        <v>38</v>
      </c>
      <c r="G28" s="158">
        <f t="shared" si="19"/>
        <v>53</v>
      </c>
      <c r="H28" s="158">
        <f t="shared" si="19"/>
        <v>70</v>
      </c>
      <c r="I28" s="158">
        <f t="shared" si="19"/>
        <v>90</v>
      </c>
      <c r="J28" s="159">
        <f t="shared" si="19"/>
        <v>103</v>
      </c>
    </row>
    <row r="29" spans="1:19" s="53" customFormat="1" x14ac:dyDescent="0.25">
      <c r="A29" s="172" t="s">
        <v>66</v>
      </c>
      <c r="B29" s="157">
        <f t="shared" ref="B29:J29" si="20">ROUND(B25*B15,0)</f>
        <v>2</v>
      </c>
      <c r="C29" s="158">
        <f t="shared" si="20"/>
        <v>36</v>
      </c>
      <c r="D29" s="158">
        <f t="shared" si="20"/>
        <v>75</v>
      </c>
      <c r="E29" s="158">
        <f t="shared" si="20"/>
        <v>127</v>
      </c>
      <c r="F29" s="158">
        <f t="shared" si="20"/>
        <v>191</v>
      </c>
      <c r="G29" s="158">
        <f t="shared" si="20"/>
        <v>268</v>
      </c>
      <c r="H29" s="158">
        <f t="shared" si="20"/>
        <v>345</v>
      </c>
      <c r="I29" s="158">
        <f t="shared" si="20"/>
        <v>398</v>
      </c>
      <c r="J29" s="159">
        <f t="shared" si="20"/>
        <v>451</v>
      </c>
      <c r="L29" s="73"/>
      <c r="M29" s="73"/>
      <c r="N29" s="73"/>
      <c r="O29" s="73"/>
      <c r="P29" s="73"/>
      <c r="Q29" s="73"/>
      <c r="R29" s="73"/>
      <c r="S29" s="73"/>
    </row>
    <row r="30" spans="1:19" ht="15.75" thickBot="1" x14ac:dyDescent="0.3">
      <c r="A30" s="172" t="s">
        <v>91</v>
      </c>
      <c r="B30" s="160">
        <f t="shared" ref="B30:J30" si="21">ROUND((B29/22)*5,0)</f>
        <v>0</v>
      </c>
      <c r="C30" s="161">
        <f t="shared" si="21"/>
        <v>8</v>
      </c>
      <c r="D30" s="161">
        <f t="shared" si="21"/>
        <v>17</v>
      </c>
      <c r="E30" s="161">
        <f t="shared" si="21"/>
        <v>29</v>
      </c>
      <c r="F30" s="161">
        <f t="shared" si="21"/>
        <v>43</v>
      </c>
      <c r="G30" s="161">
        <f t="shared" si="21"/>
        <v>61</v>
      </c>
      <c r="H30" s="161">
        <f t="shared" si="21"/>
        <v>78</v>
      </c>
      <c r="I30" s="161">
        <f t="shared" si="21"/>
        <v>90</v>
      </c>
      <c r="J30" s="162">
        <f t="shared" si="21"/>
        <v>103</v>
      </c>
    </row>
    <row r="31" spans="1:19" ht="15.75" thickBot="1" x14ac:dyDescent="0.3">
      <c r="A31" s="166" t="s">
        <v>110</v>
      </c>
      <c r="B31" s="167"/>
      <c r="C31" s="168"/>
      <c r="D31" s="169"/>
      <c r="E31" s="169"/>
      <c r="F31" s="169"/>
      <c r="G31" s="169"/>
      <c r="H31" s="169"/>
      <c r="I31" s="169"/>
      <c r="J31" s="170"/>
    </row>
    <row r="32" spans="1:19" x14ac:dyDescent="0.25">
      <c r="A32" s="179" t="s">
        <v>18</v>
      </c>
      <c r="B32" s="174">
        <f>ROUNDUP(SMI!$B5*B$2,0)</f>
        <v>91</v>
      </c>
      <c r="C32" s="175">
        <f>ROUNDUP(SMI!$B5*C$2,0)</f>
        <v>1354</v>
      </c>
      <c r="D32" s="175">
        <f>ROUNDUP(SMI!$B5*D$2,0)</f>
        <v>2256</v>
      </c>
      <c r="E32" s="175">
        <f>ROUNDUP(SMI!$B5*E$2,0)</f>
        <v>3159</v>
      </c>
      <c r="F32" s="175">
        <f>ROUNDUP(SMI!$B5*F$2,0)</f>
        <v>4061</v>
      </c>
      <c r="G32" s="175">
        <f>ROUNDUP(SMI!$B5*G$2,0)</f>
        <v>4964</v>
      </c>
      <c r="H32" s="175">
        <f>ROUNDUP(SMI!$B5*H$2,0)</f>
        <v>5866</v>
      </c>
      <c r="I32" s="175">
        <f>ROUNDUP(SMI!$B5*I$2,0)</f>
        <v>6768</v>
      </c>
      <c r="J32" s="176">
        <f>ROUND(SMI!$B5*J$2,0)</f>
        <v>7670</v>
      </c>
    </row>
    <row r="33" spans="1:10" hidden="1" x14ac:dyDescent="0.25">
      <c r="A33" s="83" t="s">
        <v>31</v>
      </c>
      <c r="B33" s="78">
        <f>B32/SMI!$B$5</f>
        <v>1.0084219858156029E-2</v>
      </c>
      <c r="C33" s="74">
        <f>C32/SMI!$B$5</f>
        <v>0.15004432624113476</v>
      </c>
      <c r="D33" s="74">
        <f>D32/SMI!$B$5</f>
        <v>0.25</v>
      </c>
      <c r="E33" s="74">
        <f>E32/SMI!$B$5</f>
        <v>0.35006648936170215</v>
      </c>
      <c r="F33" s="74">
        <f>F32/SMI!$B$5</f>
        <v>0.45002216312056736</v>
      </c>
      <c r="G33" s="74">
        <f>G32/SMI!$B$5</f>
        <v>0.55008865248226946</v>
      </c>
      <c r="H33" s="74">
        <f>H32/SMI!$B$5</f>
        <v>0.65004432624113473</v>
      </c>
      <c r="I33" s="74">
        <f>I32/SMI!$B$5</f>
        <v>0.75</v>
      </c>
      <c r="J33" s="79">
        <f>J32/SMI!$B$5</f>
        <v>0.84995567375886527</v>
      </c>
    </row>
    <row r="34" spans="1:10" hidden="1" x14ac:dyDescent="0.25">
      <c r="A34" s="83" t="s">
        <v>76</v>
      </c>
      <c r="B34" s="78">
        <f>IF(B33&lt;0.01,0,(((B33*100)-1)*0.000666)+0.02)</f>
        <v>2.0005609042553191E-2</v>
      </c>
      <c r="C34" s="74">
        <f>IF(C33&lt;0.01,0,(((C33*100)-1)*0.000666)+0.02)</f>
        <v>2.9326952127659574E-2</v>
      </c>
      <c r="D34" s="74">
        <f t="shared" ref="D34:J34" si="22">IF(D33&lt;0.01,0,(((D33*100)-1)*0.000666)+0.02)</f>
        <v>3.5984000000000002E-2</v>
      </c>
      <c r="E34" s="74">
        <f t="shared" si="22"/>
        <v>4.2648428191489368E-2</v>
      </c>
      <c r="F34" s="74">
        <f t="shared" si="22"/>
        <v>4.930547606382979E-2</v>
      </c>
      <c r="G34" s="74">
        <f t="shared" si="22"/>
        <v>5.5969904255319156E-2</v>
      </c>
      <c r="H34" s="74">
        <f t="shared" si="22"/>
        <v>6.2626952127659577E-2</v>
      </c>
      <c r="I34" s="74">
        <f t="shared" si="22"/>
        <v>6.9283999999999998E-2</v>
      </c>
      <c r="J34" s="79">
        <f t="shared" si="22"/>
        <v>7.5941047872340434E-2</v>
      </c>
    </row>
    <row r="35" spans="1:10" hidden="1" x14ac:dyDescent="0.25">
      <c r="A35" s="83" t="s">
        <v>75</v>
      </c>
      <c r="B35" s="78">
        <f t="shared" ref="B35:J35" si="23">IF(B34&gt;0.07,0.07,B17)</f>
        <v>2.0001757255936677E-2</v>
      </c>
      <c r="C35" s="74">
        <f t="shared" si="23"/>
        <v>2.9324000000000003E-2</v>
      </c>
      <c r="D35" s="74">
        <f t="shared" si="23"/>
        <v>3.5984000000000002E-2</v>
      </c>
      <c r="E35" s="74">
        <f t="shared" si="23"/>
        <v>4.2644000000000001E-2</v>
      </c>
      <c r="F35" s="74">
        <f t="shared" si="23"/>
        <v>4.9304000000000001E-2</v>
      </c>
      <c r="G35" s="74">
        <f t="shared" si="23"/>
        <v>5.5964000000000014E-2</v>
      </c>
      <c r="H35" s="74">
        <f t="shared" si="23"/>
        <v>6.2623999999999999E-2</v>
      </c>
      <c r="I35" s="74">
        <f t="shared" si="23"/>
        <v>6.9283999999999998E-2</v>
      </c>
      <c r="J35" s="79">
        <f t="shared" si="23"/>
        <v>7.0000000000000007E-2</v>
      </c>
    </row>
    <row r="36" spans="1:10" hidden="1" x14ac:dyDescent="0.25">
      <c r="A36" s="96" t="s">
        <v>75</v>
      </c>
      <c r="B36" s="80">
        <f>B32*0.07</f>
        <v>6.370000000000001</v>
      </c>
      <c r="C36" s="56">
        <f>C32*0.07</f>
        <v>94.780000000000015</v>
      </c>
      <c r="D36" s="56">
        <f t="shared" ref="D36:J36" si="24">D32*0.07</f>
        <v>157.92000000000002</v>
      </c>
      <c r="E36" s="56">
        <f t="shared" si="24"/>
        <v>221.13000000000002</v>
      </c>
      <c r="F36" s="56">
        <f t="shared" si="24"/>
        <v>284.27000000000004</v>
      </c>
      <c r="G36" s="56">
        <f t="shared" si="24"/>
        <v>347.48</v>
      </c>
      <c r="H36" s="56">
        <f t="shared" si="24"/>
        <v>410.62000000000006</v>
      </c>
      <c r="I36" s="56">
        <f t="shared" si="24"/>
        <v>473.76000000000005</v>
      </c>
      <c r="J36" s="81">
        <f t="shared" si="24"/>
        <v>536.90000000000009</v>
      </c>
    </row>
    <row r="37" spans="1:10" hidden="1" x14ac:dyDescent="0.25">
      <c r="A37" s="96" t="s">
        <v>71</v>
      </c>
      <c r="B37" s="80">
        <f>B34*B32</f>
        <v>1.8205104228723403</v>
      </c>
      <c r="C37" s="56">
        <f>C34*C32</f>
        <v>39.708693180851064</v>
      </c>
      <c r="D37" s="56">
        <f t="shared" ref="D37:J37" si="25">D34*D32</f>
        <v>81.179904000000008</v>
      </c>
      <c r="E37" s="56">
        <f t="shared" si="25"/>
        <v>134.72638465691492</v>
      </c>
      <c r="F37" s="56">
        <f t="shared" si="25"/>
        <v>200.22953829521276</v>
      </c>
      <c r="G37" s="56">
        <f t="shared" si="25"/>
        <v>277.83460472340431</v>
      </c>
      <c r="H37" s="56">
        <f t="shared" si="25"/>
        <v>367.36970118085105</v>
      </c>
      <c r="I37" s="56">
        <f t="shared" si="25"/>
        <v>468.91411199999999</v>
      </c>
      <c r="J37" s="81">
        <f t="shared" si="25"/>
        <v>582.46783718085112</v>
      </c>
    </row>
    <row r="38" spans="1:10" hidden="1" x14ac:dyDescent="0.25">
      <c r="A38" s="96" t="s">
        <v>73</v>
      </c>
      <c r="B38" s="80">
        <f>IF(B37&gt;B36,B36,B37)</f>
        <v>1.8205104228723403</v>
      </c>
      <c r="C38" s="56">
        <f t="shared" ref="C38:J38" si="26">IF(C37&gt;C36,C36,C37)</f>
        <v>39.708693180851064</v>
      </c>
      <c r="D38" s="56">
        <f t="shared" si="26"/>
        <v>81.179904000000008</v>
      </c>
      <c r="E38" s="56">
        <f t="shared" si="26"/>
        <v>134.72638465691492</v>
      </c>
      <c r="F38" s="56">
        <f t="shared" si="26"/>
        <v>200.22953829521276</v>
      </c>
      <c r="G38" s="56">
        <f t="shared" si="26"/>
        <v>277.83460472340431</v>
      </c>
      <c r="H38" s="56">
        <f t="shared" si="26"/>
        <v>367.36970118085105</v>
      </c>
      <c r="I38" s="56">
        <f t="shared" si="26"/>
        <v>468.91411199999999</v>
      </c>
      <c r="J38" s="81">
        <f t="shared" si="26"/>
        <v>536.90000000000009</v>
      </c>
    </row>
    <row r="39" spans="1:10" hidden="1" x14ac:dyDescent="0.25">
      <c r="A39" s="110" t="s">
        <v>94</v>
      </c>
      <c r="B39" s="131">
        <f>B33*0.015</f>
        <v>1.5126329787234043E-4</v>
      </c>
      <c r="C39" s="104">
        <f>C33*0.015</f>
        <v>2.2506648936170214E-3</v>
      </c>
      <c r="D39" s="104">
        <f>D33*0.015</f>
        <v>3.7499999999999999E-3</v>
      </c>
      <c r="E39" s="104">
        <f t="shared" ref="E39:I39" si="27">E33*0.015</f>
        <v>5.2509973404255318E-3</v>
      </c>
      <c r="F39" s="104">
        <f t="shared" si="27"/>
        <v>6.7503324468085098E-3</v>
      </c>
      <c r="G39" s="104">
        <f t="shared" si="27"/>
        <v>8.2513297872340418E-3</v>
      </c>
      <c r="H39" s="104">
        <f t="shared" si="27"/>
        <v>9.7506648936170198E-3</v>
      </c>
      <c r="I39" s="104">
        <f t="shared" si="27"/>
        <v>1.125E-2</v>
      </c>
      <c r="J39" s="132">
        <f>J33*0.015</f>
        <v>1.2749335106382979E-2</v>
      </c>
    </row>
    <row r="40" spans="1:10" hidden="1" x14ac:dyDescent="0.25">
      <c r="A40" s="110" t="s">
        <v>70</v>
      </c>
      <c r="B40" s="131">
        <f>IF(B42-B34&lt;0,0,B42-B34)</f>
        <v>1.5126329787234008E-4</v>
      </c>
      <c r="C40" s="104">
        <f t="shared" ref="C40:J40" si="28">IF(C42-C34&lt;0,0,C42-C34)</f>
        <v>2.2506648936170201E-3</v>
      </c>
      <c r="D40" s="104">
        <f t="shared" si="28"/>
        <v>3.7500000000000033E-3</v>
      </c>
      <c r="E40" s="104">
        <f t="shared" si="28"/>
        <v>5.2509973404255283E-3</v>
      </c>
      <c r="F40" s="104">
        <f t="shared" si="28"/>
        <v>6.7503324468085116E-3</v>
      </c>
      <c r="G40" s="104">
        <f t="shared" si="28"/>
        <v>8.2513297872340435E-3</v>
      </c>
      <c r="H40" s="104">
        <f t="shared" si="28"/>
        <v>7.3730478723404297E-3</v>
      </c>
      <c r="I40" s="104">
        <f t="shared" si="28"/>
        <v>7.160000000000083E-4</v>
      </c>
      <c r="J40" s="132">
        <f t="shared" si="28"/>
        <v>0</v>
      </c>
    </row>
    <row r="41" spans="1:10" hidden="1" x14ac:dyDescent="0.25">
      <c r="A41" s="110" t="s">
        <v>82</v>
      </c>
      <c r="B41" s="116">
        <f>B34+B39</f>
        <v>2.0156872340425531E-2</v>
      </c>
      <c r="C41" s="105">
        <f t="shared" ref="C41:J41" si="29">C34+C39</f>
        <v>3.1577617021276594E-2</v>
      </c>
      <c r="D41" s="105">
        <f t="shared" si="29"/>
        <v>3.9734000000000005E-2</v>
      </c>
      <c r="E41" s="105">
        <f t="shared" si="29"/>
        <v>4.7899425531914896E-2</v>
      </c>
      <c r="F41" s="105">
        <f t="shared" si="29"/>
        <v>5.6055808510638301E-2</v>
      </c>
      <c r="G41" s="105">
        <f t="shared" si="29"/>
        <v>6.4221234042553199E-2</v>
      </c>
      <c r="H41" s="105">
        <f t="shared" si="29"/>
        <v>7.2377617021276597E-2</v>
      </c>
      <c r="I41" s="105">
        <f t="shared" si="29"/>
        <v>8.0533999999999994E-2</v>
      </c>
      <c r="J41" s="111">
        <f t="shared" si="29"/>
        <v>8.869038297872342E-2</v>
      </c>
    </row>
    <row r="42" spans="1:10" hidden="1" x14ac:dyDescent="0.25">
      <c r="A42" s="110" t="s">
        <v>77</v>
      </c>
      <c r="B42" s="116">
        <f t="shared" ref="B42:J42" si="30">IF(B41&gt;0.07,0.07,B41)</f>
        <v>2.0156872340425531E-2</v>
      </c>
      <c r="C42" s="105">
        <f t="shared" si="30"/>
        <v>3.1577617021276594E-2</v>
      </c>
      <c r="D42" s="105">
        <f t="shared" si="30"/>
        <v>3.9734000000000005E-2</v>
      </c>
      <c r="E42" s="105">
        <f t="shared" si="30"/>
        <v>4.7899425531914896E-2</v>
      </c>
      <c r="F42" s="105">
        <f t="shared" si="30"/>
        <v>5.6055808510638301E-2</v>
      </c>
      <c r="G42" s="105">
        <f t="shared" si="30"/>
        <v>6.4221234042553199E-2</v>
      </c>
      <c r="H42" s="105">
        <f t="shared" si="30"/>
        <v>7.0000000000000007E-2</v>
      </c>
      <c r="I42" s="105">
        <f t="shared" si="30"/>
        <v>7.0000000000000007E-2</v>
      </c>
      <c r="J42" s="111">
        <f t="shared" si="30"/>
        <v>7.0000000000000007E-2</v>
      </c>
    </row>
    <row r="43" spans="1:10" hidden="1" x14ac:dyDescent="0.25">
      <c r="A43" s="180" t="s">
        <v>84</v>
      </c>
      <c r="B43" s="133">
        <f>B32*B39</f>
        <v>1.3764960106382979E-2</v>
      </c>
      <c r="C43" s="126">
        <f t="shared" ref="C43:J43" si="31">C32*C39</f>
        <v>3.0474002659574468</v>
      </c>
      <c r="D43" s="126">
        <f t="shared" si="31"/>
        <v>8.4599999999999991</v>
      </c>
      <c r="E43" s="126">
        <f t="shared" si="31"/>
        <v>16.587900598404254</v>
      </c>
      <c r="F43" s="126">
        <f t="shared" si="31"/>
        <v>27.41310006648936</v>
      </c>
      <c r="G43" s="126">
        <f t="shared" si="31"/>
        <v>40.959601063829787</v>
      </c>
      <c r="H43" s="126">
        <f t="shared" si="31"/>
        <v>57.197400265957441</v>
      </c>
      <c r="I43" s="126">
        <f t="shared" si="31"/>
        <v>76.14</v>
      </c>
      <c r="J43" s="134">
        <f t="shared" si="31"/>
        <v>97.787400265957459</v>
      </c>
    </row>
    <row r="44" spans="1:10" hidden="1" x14ac:dyDescent="0.25">
      <c r="A44" s="181" t="s">
        <v>80</v>
      </c>
      <c r="B44" s="135">
        <f>B33*(0.015*2)</f>
        <v>3.0252659574468086E-4</v>
      </c>
      <c r="C44" s="127">
        <f t="shared" ref="C44:J44" si="32">C33*(0.015*2)</f>
        <v>4.5013297872340428E-3</v>
      </c>
      <c r="D44" s="127">
        <f t="shared" si="32"/>
        <v>7.4999999999999997E-3</v>
      </c>
      <c r="E44" s="127">
        <f t="shared" si="32"/>
        <v>1.0501994680851064E-2</v>
      </c>
      <c r="F44" s="127">
        <f t="shared" si="32"/>
        <v>1.350066489361702E-2</v>
      </c>
      <c r="G44" s="127">
        <f t="shared" si="32"/>
        <v>1.6502659574468084E-2</v>
      </c>
      <c r="H44" s="127">
        <f t="shared" si="32"/>
        <v>1.950132978723404E-2</v>
      </c>
      <c r="I44" s="127">
        <f t="shared" si="32"/>
        <v>2.2499999999999999E-2</v>
      </c>
      <c r="J44" s="136">
        <f t="shared" si="32"/>
        <v>2.5498670212765959E-2</v>
      </c>
    </row>
    <row r="45" spans="1:10" hidden="1" x14ac:dyDescent="0.25">
      <c r="A45" s="181" t="s">
        <v>81</v>
      </c>
      <c r="B45" s="135">
        <f>IF(B46-B34&lt;0,0,B46-B34)</f>
        <v>3.0252659574468016E-4</v>
      </c>
      <c r="C45" s="127">
        <f t="shared" ref="C45:I45" si="33">IF(C46-C34&lt;0,0,C46-C34)</f>
        <v>4.5013297872340402E-3</v>
      </c>
      <c r="D45" s="127">
        <f t="shared" si="33"/>
        <v>7.4999999999999997E-3</v>
      </c>
      <c r="E45" s="127">
        <f t="shared" si="33"/>
        <v>1.0501994680851064E-2</v>
      </c>
      <c r="F45" s="127">
        <f t="shared" si="33"/>
        <v>1.3500664893617023E-2</v>
      </c>
      <c r="G45" s="127">
        <f t="shared" si="33"/>
        <v>1.6502659574468087E-2</v>
      </c>
      <c r="H45" s="127">
        <f t="shared" si="33"/>
        <v>1.950132978723404E-2</v>
      </c>
      <c r="I45" s="127">
        <f t="shared" si="33"/>
        <v>2.2500000000000006E-2</v>
      </c>
      <c r="J45" s="136">
        <f>IF(J46-J34&lt;0,0,J46-J34)</f>
        <v>2.5498670212765959E-2</v>
      </c>
    </row>
    <row r="46" spans="1:10" hidden="1" x14ac:dyDescent="0.25">
      <c r="A46" s="181" t="s">
        <v>83</v>
      </c>
      <c r="B46" s="135">
        <f>B34+B44</f>
        <v>2.0308135638297871E-2</v>
      </c>
      <c r="C46" s="127">
        <f>C34+C44</f>
        <v>3.3828281914893614E-2</v>
      </c>
      <c r="D46" s="127">
        <f t="shared" ref="D46:J46" si="34">D34+D44</f>
        <v>4.3484000000000002E-2</v>
      </c>
      <c r="E46" s="127">
        <f t="shared" si="34"/>
        <v>5.3150422872340432E-2</v>
      </c>
      <c r="F46" s="127">
        <f t="shared" si="34"/>
        <v>6.2806140957446813E-2</v>
      </c>
      <c r="G46" s="127">
        <f t="shared" si="34"/>
        <v>7.2472563829787243E-2</v>
      </c>
      <c r="H46" s="127">
        <f t="shared" si="34"/>
        <v>8.2128281914893617E-2</v>
      </c>
      <c r="I46" s="127">
        <f t="shared" si="34"/>
        <v>9.1784000000000004E-2</v>
      </c>
      <c r="J46" s="136">
        <f t="shared" si="34"/>
        <v>0.10143971808510639</v>
      </c>
    </row>
    <row r="47" spans="1:10" hidden="1" x14ac:dyDescent="0.25">
      <c r="A47" s="181" t="s">
        <v>78</v>
      </c>
      <c r="B47" s="135">
        <f>IF(B46&gt;0.07,0.07,B46)</f>
        <v>2.0308135638297871E-2</v>
      </c>
      <c r="C47" s="127">
        <f t="shared" ref="C47:J47" si="35">IF(C46&gt;0.07,0.07,C46)</f>
        <v>3.3828281914893614E-2</v>
      </c>
      <c r="D47" s="127">
        <f t="shared" si="35"/>
        <v>4.3484000000000002E-2</v>
      </c>
      <c r="E47" s="127">
        <f t="shared" si="35"/>
        <v>5.3150422872340432E-2</v>
      </c>
      <c r="F47" s="127">
        <f t="shared" si="35"/>
        <v>6.2806140957446813E-2</v>
      </c>
      <c r="G47" s="127">
        <f t="shared" si="35"/>
        <v>7.0000000000000007E-2</v>
      </c>
      <c r="H47" s="127">
        <f t="shared" si="35"/>
        <v>7.0000000000000007E-2</v>
      </c>
      <c r="I47" s="127">
        <f t="shared" si="35"/>
        <v>7.0000000000000007E-2</v>
      </c>
      <c r="J47" s="136">
        <f t="shared" si="35"/>
        <v>7.0000000000000007E-2</v>
      </c>
    </row>
    <row r="48" spans="1:10" hidden="1" x14ac:dyDescent="0.25">
      <c r="A48" s="182" t="s">
        <v>88</v>
      </c>
      <c r="B48" s="137">
        <f>B32*B44</f>
        <v>2.7529920212765957E-2</v>
      </c>
      <c r="C48" s="128">
        <f t="shared" ref="C48:J48" si="36">C32*C44</f>
        <v>6.0948005319148937</v>
      </c>
      <c r="D48" s="128">
        <f t="shared" si="36"/>
        <v>16.919999999999998</v>
      </c>
      <c r="E48" s="128">
        <f t="shared" si="36"/>
        <v>33.175801196808507</v>
      </c>
      <c r="F48" s="128">
        <f t="shared" si="36"/>
        <v>54.82620013297872</v>
      </c>
      <c r="G48" s="128">
        <f t="shared" si="36"/>
        <v>81.919202127659574</v>
      </c>
      <c r="H48" s="128">
        <f t="shared" si="36"/>
        <v>114.39480053191488</v>
      </c>
      <c r="I48" s="128">
        <f t="shared" si="36"/>
        <v>152.28</v>
      </c>
      <c r="J48" s="138">
        <f t="shared" si="36"/>
        <v>195.57480053191492</v>
      </c>
    </row>
    <row r="49" spans="1:10" hidden="1" x14ac:dyDescent="0.25">
      <c r="A49" s="180" t="s">
        <v>85</v>
      </c>
      <c r="B49" s="139">
        <f t="shared" ref="B49:J49" si="37">B38+B43</f>
        <v>1.8342753829787233</v>
      </c>
      <c r="C49" s="106">
        <f t="shared" si="37"/>
        <v>42.756093446808514</v>
      </c>
      <c r="D49" s="106">
        <f t="shared" si="37"/>
        <v>89.639904000000001</v>
      </c>
      <c r="E49" s="106">
        <f t="shared" si="37"/>
        <v>151.31428525531916</v>
      </c>
      <c r="F49" s="106">
        <f t="shared" si="37"/>
        <v>227.64263836170213</v>
      </c>
      <c r="G49" s="106">
        <f t="shared" si="37"/>
        <v>318.79420578723409</v>
      </c>
      <c r="H49" s="106">
        <f t="shared" si="37"/>
        <v>424.56710144680846</v>
      </c>
      <c r="I49" s="106">
        <f t="shared" si="37"/>
        <v>545.05411200000003</v>
      </c>
      <c r="J49" s="140">
        <f t="shared" si="37"/>
        <v>634.68740026595754</v>
      </c>
    </row>
    <row r="50" spans="1:10" hidden="1" x14ac:dyDescent="0.25">
      <c r="A50" s="180" t="s">
        <v>86</v>
      </c>
      <c r="B50" s="139">
        <f t="shared" ref="B50:J50" si="38">IF(B49&gt;B36,B36,B49)</f>
        <v>1.8342753829787233</v>
      </c>
      <c r="C50" s="106">
        <f t="shared" si="38"/>
        <v>42.756093446808514</v>
      </c>
      <c r="D50" s="106">
        <f t="shared" si="38"/>
        <v>89.639904000000001</v>
      </c>
      <c r="E50" s="106">
        <f t="shared" si="38"/>
        <v>151.31428525531916</v>
      </c>
      <c r="F50" s="106">
        <f t="shared" si="38"/>
        <v>227.64263836170213</v>
      </c>
      <c r="G50" s="106">
        <f t="shared" si="38"/>
        <v>318.79420578723409</v>
      </c>
      <c r="H50" s="106">
        <f t="shared" si="38"/>
        <v>410.62000000000006</v>
      </c>
      <c r="I50" s="106">
        <f t="shared" si="38"/>
        <v>473.76000000000005</v>
      </c>
      <c r="J50" s="140">
        <f t="shared" si="38"/>
        <v>536.90000000000009</v>
      </c>
    </row>
    <row r="51" spans="1:10" hidden="1" x14ac:dyDescent="0.25">
      <c r="A51" s="180" t="s">
        <v>87</v>
      </c>
      <c r="B51" s="139">
        <f t="shared" ref="B51:J51" si="39">B38+B43+B48</f>
        <v>1.8618053031914892</v>
      </c>
      <c r="C51" s="106">
        <f t="shared" si="39"/>
        <v>48.850893978723406</v>
      </c>
      <c r="D51" s="106">
        <f t="shared" si="39"/>
        <v>106.559904</v>
      </c>
      <c r="E51" s="106">
        <f t="shared" si="39"/>
        <v>184.49008645212768</v>
      </c>
      <c r="F51" s="106">
        <f t="shared" si="39"/>
        <v>282.46883849468082</v>
      </c>
      <c r="G51" s="106">
        <f t="shared" si="39"/>
        <v>400.71340791489365</v>
      </c>
      <c r="H51" s="106">
        <f t="shared" si="39"/>
        <v>538.96190197872329</v>
      </c>
      <c r="I51" s="106">
        <f t="shared" si="39"/>
        <v>697.334112</v>
      </c>
      <c r="J51" s="140">
        <f t="shared" si="39"/>
        <v>830.26220079787242</v>
      </c>
    </row>
    <row r="52" spans="1:10" hidden="1" x14ac:dyDescent="0.25">
      <c r="A52" s="180" t="s">
        <v>89</v>
      </c>
      <c r="B52" s="139">
        <f t="shared" ref="B52:J52" si="40">IF(B51&gt;B36,B36,B51)</f>
        <v>1.8618053031914892</v>
      </c>
      <c r="C52" s="106">
        <f t="shared" si="40"/>
        <v>48.850893978723406</v>
      </c>
      <c r="D52" s="106">
        <f t="shared" si="40"/>
        <v>106.559904</v>
      </c>
      <c r="E52" s="106">
        <f t="shared" si="40"/>
        <v>184.49008645212768</v>
      </c>
      <c r="F52" s="106">
        <f t="shared" si="40"/>
        <v>282.46883849468082</v>
      </c>
      <c r="G52" s="106">
        <f t="shared" si="40"/>
        <v>347.48</v>
      </c>
      <c r="H52" s="106">
        <f t="shared" si="40"/>
        <v>410.62000000000006</v>
      </c>
      <c r="I52" s="106">
        <f t="shared" si="40"/>
        <v>473.76000000000005</v>
      </c>
      <c r="J52" s="140">
        <f t="shared" si="40"/>
        <v>536.90000000000009</v>
      </c>
    </row>
    <row r="53" spans="1:10" s="53" customFormat="1" x14ac:dyDescent="0.25">
      <c r="A53" s="172" t="s">
        <v>64</v>
      </c>
      <c r="B53" s="157">
        <f>ROUND(B38,0)</f>
        <v>2</v>
      </c>
      <c r="C53" s="158">
        <f>ROUND(C38,0)</f>
        <v>40</v>
      </c>
      <c r="D53" s="158">
        <f t="shared" ref="D53:J53" si="41">ROUND(D38,0)</f>
        <v>81</v>
      </c>
      <c r="E53" s="158">
        <f t="shared" si="41"/>
        <v>135</v>
      </c>
      <c r="F53" s="158">
        <f t="shared" si="41"/>
        <v>200</v>
      </c>
      <c r="G53" s="158">
        <f t="shared" si="41"/>
        <v>278</v>
      </c>
      <c r="H53" s="158">
        <f t="shared" si="41"/>
        <v>367</v>
      </c>
      <c r="I53" s="158">
        <f t="shared" si="41"/>
        <v>469</v>
      </c>
      <c r="J53" s="159">
        <f t="shared" si="41"/>
        <v>537</v>
      </c>
    </row>
    <row r="54" spans="1:10" s="53" customFormat="1" x14ac:dyDescent="0.25">
      <c r="A54" s="172" t="s">
        <v>90</v>
      </c>
      <c r="B54" s="157">
        <f>ROUND((B53/22)*5,0)</f>
        <v>0</v>
      </c>
      <c r="C54" s="158">
        <f>ROUND((C53/22)*5,0)</f>
        <v>9</v>
      </c>
      <c r="D54" s="158">
        <f t="shared" ref="D54:J54" si="42">ROUND((D53/22)*5,0)</f>
        <v>18</v>
      </c>
      <c r="E54" s="158">
        <f t="shared" si="42"/>
        <v>31</v>
      </c>
      <c r="F54" s="158">
        <f t="shared" si="42"/>
        <v>45</v>
      </c>
      <c r="G54" s="158">
        <f t="shared" si="42"/>
        <v>63</v>
      </c>
      <c r="H54" s="158">
        <f t="shared" si="42"/>
        <v>83</v>
      </c>
      <c r="I54" s="158">
        <f t="shared" si="42"/>
        <v>107</v>
      </c>
      <c r="J54" s="159">
        <f t="shared" si="42"/>
        <v>122</v>
      </c>
    </row>
    <row r="55" spans="1:10" s="53" customFormat="1" x14ac:dyDescent="0.25">
      <c r="A55" s="172" t="s">
        <v>66</v>
      </c>
      <c r="B55" s="157">
        <f>ROUND(B32*B42,0)</f>
        <v>2</v>
      </c>
      <c r="C55" s="158">
        <f t="shared" ref="C55:J55" si="43">ROUND(C32*C42,0)</f>
        <v>43</v>
      </c>
      <c r="D55" s="158">
        <f t="shared" si="43"/>
        <v>90</v>
      </c>
      <c r="E55" s="158">
        <f t="shared" si="43"/>
        <v>151</v>
      </c>
      <c r="F55" s="158">
        <f t="shared" si="43"/>
        <v>228</v>
      </c>
      <c r="G55" s="158">
        <f t="shared" si="43"/>
        <v>319</v>
      </c>
      <c r="H55" s="158">
        <f t="shared" si="43"/>
        <v>411</v>
      </c>
      <c r="I55" s="158">
        <f t="shared" si="43"/>
        <v>474</v>
      </c>
      <c r="J55" s="159">
        <f t="shared" si="43"/>
        <v>537</v>
      </c>
    </row>
    <row r="56" spans="1:10" x14ac:dyDescent="0.25">
      <c r="A56" s="172" t="s">
        <v>91</v>
      </c>
      <c r="B56" s="157">
        <f>ROUND((B55/22)*5,0)</f>
        <v>0</v>
      </c>
      <c r="C56" s="158">
        <f t="shared" ref="C56:J56" si="44">ROUND((C55/22)*5,0)</f>
        <v>10</v>
      </c>
      <c r="D56" s="158">
        <f t="shared" si="44"/>
        <v>20</v>
      </c>
      <c r="E56" s="158">
        <f t="shared" si="44"/>
        <v>34</v>
      </c>
      <c r="F56" s="158">
        <f t="shared" si="44"/>
        <v>52</v>
      </c>
      <c r="G56" s="158">
        <f t="shared" si="44"/>
        <v>73</v>
      </c>
      <c r="H56" s="158">
        <f t="shared" si="44"/>
        <v>93</v>
      </c>
      <c r="I56" s="158">
        <f t="shared" si="44"/>
        <v>108</v>
      </c>
      <c r="J56" s="159">
        <f t="shared" si="44"/>
        <v>122</v>
      </c>
    </row>
    <row r="57" spans="1:10" x14ac:dyDescent="0.25">
      <c r="A57" s="172" t="s">
        <v>92</v>
      </c>
      <c r="B57" s="157">
        <f>ROUND(B32*B47,0)</f>
        <v>2</v>
      </c>
      <c r="C57" s="158">
        <f>ROUND(C32*C47,0)</f>
        <v>46</v>
      </c>
      <c r="D57" s="158">
        <f t="shared" ref="D57:J57" si="45">ROUND(D32*D47,0)</f>
        <v>98</v>
      </c>
      <c r="E57" s="158">
        <f t="shared" si="45"/>
        <v>168</v>
      </c>
      <c r="F57" s="158">
        <f t="shared" si="45"/>
        <v>255</v>
      </c>
      <c r="G57" s="158">
        <f t="shared" si="45"/>
        <v>347</v>
      </c>
      <c r="H57" s="158">
        <f t="shared" si="45"/>
        <v>411</v>
      </c>
      <c r="I57" s="158">
        <f t="shared" si="45"/>
        <v>474</v>
      </c>
      <c r="J57" s="159">
        <f t="shared" si="45"/>
        <v>537</v>
      </c>
    </row>
    <row r="58" spans="1:10" ht="15.75" thickBot="1" x14ac:dyDescent="0.3">
      <c r="A58" s="172" t="s">
        <v>93</v>
      </c>
      <c r="B58" s="160">
        <f>ROUND((B57/22)*5,0)</f>
        <v>0</v>
      </c>
      <c r="C58" s="161">
        <f t="shared" ref="C58:J58" si="46">ROUND((C57/22)*5,0)</f>
        <v>10</v>
      </c>
      <c r="D58" s="161">
        <f t="shared" si="46"/>
        <v>22</v>
      </c>
      <c r="E58" s="161">
        <f t="shared" si="46"/>
        <v>38</v>
      </c>
      <c r="F58" s="161">
        <f t="shared" si="46"/>
        <v>58</v>
      </c>
      <c r="G58" s="161">
        <f t="shared" si="46"/>
        <v>79</v>
      </c>
      <c r="H58" s="161">
        <f t="shared" si="46"/>
        <v>93</v>
      </c>
      <c r="I58" s="161">
        <f t="shared" si="46"/>
        <v>108</v>
      </c>
      <c r="J58" s="162">
        <f t="shared" si="46"/>
        <v>122</v>
      </c>
    </row>
    <row r="59" spans="1:10" ht="15.75" thickBot="1" x14ac:dyDescent="0.3">
      <c r="A59" s="166" t="s">
        <v>111</v>
      </c>
      <c r="B59" s="167"/>
      <c r="C59" s="168"/>
      <c r="D59" s="169"/>
      <c r="E59" s="169"/>
      <c r="F59" s="169"/>
      <c r="G59" s="169"/>
      <c r="H59" s="169"/>
      <c r="I59" s="169"/>
      <c r="J59" s="170"/>
    </row>
    <row r="60" spans="1:10" x14ac:dyDescent="0.25">
      <c r="A60" s="179" t="s">
        <v>18</v>
      </c>
      <c r="B60" s="163">
        <f>ROUNDUP(SMI!$B6*B$2,0)</f>
        <v>105</v>
      </c>
      <c r="C60" s="164">
        <f>ROUNDUP(SMI!$B6*C$2,0)</f>
        <v>1571</v>
      </c>
      <c r="D60" s="164">
        <f>ROUNDUP(SMI!$B6*D$2,0)</f>
        <v>2617</v>
      </c>
      <c r="E60" s="164">
        <f>ROUNDUP(SMI!$B6*E$2,0)</f>
        <v>3664</v>
      </c>
      <c r="F60" s="164">
        <f>ROUNDUP(SMI!$B6*F$2,0)</f>
        <v>4711</v>
      </c>
      <c r="G60" s="164">
        <f>ROUNDUP(SMI!$B6*G$2,0)</f>
        <v>5757</v>
      </c>
      <c r="H60" s="164">
        <f>ROUNDUP(SMI!$B6*H$2,0)</f>
        <v>6804</v>
      </c>
      <c r="I60" s="164">
        <f>ROUNDUP(SMI!$B6*I$2,0)</f>
        <v>7851</v>
      </c>
      <c r="J60" s="165">
        <f>ROUND(SMI!$B6*J$2,0)</f>
        <v>8897</v>
      </c>
    </row>
    <row r="61" spans="1:10" hidden="1" x14ac:dyDescent="0.25">
      <c r="A61" s="83" t="s">
        <v>19</v>
      </c>
      <c r="B61" s="78">
        <f>B60/SMI!$B$6</f>
        <v>1.0031527658354829E-2</v>
      </c>
      <c r="C61" s="74">
        <f>C60/SMI!$B$6</f>
        <v>0.15009076144071845</v>
      </c>
      <c r="D61" s="74">
        <f>D60/SMI!$B$6</f>
        <v>0.25002388458966274</v>
      </c>
      <c r="E61" s="74">
        <f>E60/SMI!$B$6</f>
        <v>0.35005254609725805</v>
      </c>
      <c r="F61" s="74">
        <f>F60/SMI!$B$6</f>
        <v>0.45008120760485337</v>
      </c>
      <c r="G61" s="74">
        <f>G60/SMI!$B$6</f>
        <v>0.55001433075379769</v>
      </c>
      <c r="H61" s="74">
        <f>H60/SMI!$B$6</f>
        <v>0.65004299226139295</v>
      </c>
      <c r="I61" s="74">
        <f>I60/SMI!$B$6</f>
        <v>0.75007165376898821</v>
      </c>
      <c r="J61" s="79">
        <f>J60/SMI!$B$6</f>
        <v>0.85000477691793253</v>
      </c>
    </row>
    <row r="62" spans="1:10" hidden="1" x14ac:dyDescent="0.25">
      <c r="A62" s="83" t="s">
        <v>76</v>
      </c>
      <c r="B62" s="78">
        <f>IF(B61&lt;0.01,0,(((B61*100)-1)*0.000666)+0.02)</f>
        <v>2.0002099742046434E-2</v>
      </c>
      <c r="C62" s="74">
        <f>IF(C61&lt;0.01,0,(((C61*100)-1)*0.000666)+0.02)</f>
        <v>2.9330044711951851E-2</v>
      </c>
      <c r="D62" s="74">
        <f t="shared" ref="D62:J62" si="47">IF(D61&lt;0.01,0,(((D61*100)-1)*0.000666)+0.02)</f>
        <v>3.5985590713671536E-2</v>
      </c>
      <c r="E62" s="74">
        <f t="shared" si="47"/>
        <v>4.2647499570077387E-2</v>
      </c>
      <c r="F62" s="74">
        <f t="shared" si="47"/>
        <v>4.9309408426483237E-2</v>
      </c>
      <c r="G62" s="74">
        <f t="shared" si="47"/>
        <v>5.5964954428202929E-2</v>
      </c>
      <c r="H62" s="74">
        <f t="shared" si="47"/>
        <v>6.2626863284608772E-2</v>
      </c>
      <c r="I62" s="74">
        <f t="shared" si="47"/>
        <v>6.9288772141014615E-2</v>
      </c>
      <c r="J62" s="79">
        <f t="shared" si="47"/>
        <v>7.5944318142734307E-2</v>
      </c>
    </row>
    <row r="63" spans="1:10" hidden="1" x14ac:dyDescent="0.25">
      <c r="A63" s="83" t="s">
        <v>75</v>
      </c>
      <c r="B63" s="78">
        <f t="shared" ref="B63:J63" si="48">IF(B62&gt;0.07,0.07,B45)</f>
        <v>3.0252659574468016E-4</v>
      </c>
      <c r="C63" s="74">
        <f t="shared" si="48"/>
        <v>4.5013297872340402E-3</v>
      </c>
      <c r="D63" s="74">
        <f t="shared" si="48"/>
        <v>7.4999999999999997E-3</v>
      </c>
      <c r="E63" s="74">
        <f t="shared" si="48"/>
        <v>1.0501994680851064E-2</v>
      </c>
      <c r="F63" s="74">
        <f t="shared" si="48"/>
        <v>1.3500664893617023E-2</v>
      </c>
      <c r="G63" s="74">
        <f t="shared" si="48"/>
        <v>1.6502659574468087E-2</v>
      </c>
      <c r="H63" s="74">
        <f t="shared" si="48"/>
        <v>1.950132978723404E-2</v>
      </c>
      <c r="I63" s="74">
        <f t="shared" si="48"/>
        <v>2.2500000000000006E-2</v>
      </c>
      <c r="J63" s="79">
        <f t="shared" si="48"/>
        <v>7.0000000000000007E-2</v>
      </c>
    </row>
    <row r="64" spans="1:10" hidden="1" x14ac:dyDescent="0.25">
      <c r="A64" s="96" t="s">
        <v>75</v>
      </c>
      <c r="B64" s="80">
        <f>B60*0.07</f>
        <v>7.3500000000000005</v>
      </c>
      <c r="C64" s="56">
        <f>C60*0.07</f>
        <v>109.97000000000001</v>
      </c>
      <c r="D64" s="56">
        <f t="shared" ref="D64:J64" si="49">D60*0.07</f>
        <v>183.19000000000003</v>
      </c>
      <c r="E64" s="56">
        <f t="shared" si="49"/>
        <v>256.48</v>
      </c>
      <c r="F64" s="56">
        <f t="shared" si="49"/>
        <v>329.77000000000004</v>
      </c>
      <c r="G64" s="56">
        <f t="shared" si="49"/>
        <v>402.99000000000007</v>
      </c>
      <c r="H64" s="56">
        <f t="shared" si="49"/>
        <v>476.28000000000003</v>
      </c>
      <c r="I64" s="56">
        <f t="shared" si="49"/>
        <v>549.57000000000005</v>
      </c>
      <c r="J64" s="81">
        <f t="shared" si="49"/>
        <v>622.79000000000008</v>
      </c>
    </row>
    <row r="65" spans="1:10" hidden="1" x14ac:dyDescent="0.25">
      <c r="A65" s="96" t="s">
        <v>71</v>
      </c>
      <c r="B65" s="80">
        <f>B62*B60</f>
        <v>2.1002204729148755</v>
      </c>
      <c r="C65" s="56">
        <f>C62*C60</f>
        <v>46.077500242476361</v>
      </c>
      <c r="D65" s="56">
        <f t="shared" ref="D65:J65" si="50">D62*D60</f>
        <v>94.174290897678404</v>
      </c>
      <c r="E65" s="56">
        <f t="shared" si="50"/>
        <v>156.26043842476355</v>
      </c>
      <c r="F65" s="56">
        <f t="shared" si="50"/>
        <v>232.29662309716252</v>
      </c>
      <c r="G65" s="56">
        <f t="shared" si="50"/>
        <v>322.19024264316425</v>
      </c>
      <c r="H65" s="56">
        <f t="shared" si="50"/>
        <v>426.11317778847808</v>
      </c>
      <c r="I65" s="56">
        <f t="shared" si="50"/>
        <v>543.98615007910576</v>
      </c>
      <c r="J65" s="81">
        <f t="shared" si="50"/>
        <v>675.67659851590713</v>
      </c>
    </row>
    <row r="66" spans="1:10" hidden="1" x14ac:dyDescent="0.25">
      <c r="A66" s="96" t="s">
        <v>73</v>
      </c>
      <c r="B66" s="80">
        <f>IF(B65&gt;B64,B64,B65)</f>
        <v>2.1002204729148755</v>
      </c>
      <c r="C66" s="56">
        <f t="shared" ref="C66" si="51">IF(C65&gt;C64,C64,C65)</f>
        <v>46.077500242476361</v>
      </c>
      <c r="D66" s="56">
        <f t="shared" ref="D66" si="52">IF(D65&gt;D64,D64,D65)</f>
        <v>94.174290897678404</v>
      </c>
      <c r="E66" s="56">
        <f t="shared" ref="E66" si="53">IF(E65&gt;E64,E64,E65)</f>
        <v>156.26043842476355</v>
      </c>
      <c r="F66" s="56">
        <f t="shared" ref="F66" si="54">IF(F65&gt;F64,F64,F65)</f>
        <v>232.29662309716252</v>
      </c>
      <c r="G66" s="56">
        <f t="shared" ref="G66" si="55">IF(G65&gt;G64,G64,G65)</f>
        <v>322.19024264316425</v>
      </c>
      <c r="H66" s="56">
        <f t="shared" ref="H66" si="56">IF(H65&gt;H64,H64,H65)</f>
        <v>426.11317778847808</v>
      </c>
      <c r="I66" s="56">
        <f t="shared" ref="I66" si="57">IF(I65&gt;I64,I64,I65)</f>
        <v>543.98615007910576</v>
      </c>
      <c r="J66" s="81">
        <f t="shared" ref="J66" si="58">IF(J65&gt;J64,J64,J65)</f>
        <v>622.79000000000008</v>
      </c>
    </row>
    <row r="67" spans="1:10" hidden="1" x14ac:dyDescent="0.25">
      <c r="A67" s="110" t="s">
        <v>94</v>
      </c>
      <c r="B67" s="131">
        <f>B61*0.015</f>
        <v>1.5047291487532244E-4</v>
      </c>
      <c r="C67" s="104">
        <f>C61*0.015</f>
        <v>2.2513614216107766E-3</v>
      </c>
      <c r="D67" s="104">
        <f>D61*0.015</f>
        <v>3.7503582688449407E-3</v>
      </c>
      <c r="E67" s="104">
        <f t="shared" ref="E67:I67" si="59">E61*0.015</f>
        <v>5.2507881914588706E-3</v>
      </c>
      <c r="F67" s="104">
        <f t="shared" si="59"/>
        <v>6.7512181140728005E-3</v>
      </c>
      <c r="G67" s="104">
        <f t="shared" si="59"/>
        <v>8.2502149613069651E-3</v>
      </c>
      <c r="H67" s="104">
        <f t="shared" si="59"/>
        <v>9.7506448839208941E-3</v>
      </c>
      <c r="I67" s="104">
        <f t="shared" si="59"/>
        <v>1.1251074806534823E-2</v>
      </c>
      <c r="J67" s="132">
        <f>J61*0.015</f>
        <v>1.2750071653768987E-2</v>
      </c>
    </row>
    <row r="68" spans="1:10" hidden="1" x14ac:dyDescent="0.25">
      <c r="A68" s="110" t="s">
        <v>70</v>
      </c>
      <c r="B68" s="131">
        <f>IF(B70-B62&lt;0,0,B70-B62)</f>
        <v>1.5047291487532352E-4</v>
      </c>
      <c r="C68" s="104">
        <f t="shared" ref="C68:J68" si="60">IF(C70-C62&lt;0,0,C70-C62)</f>
        <v>2.2513614216107744E-3</v>
      </c>
      <c r="D68" s="104">
        <f t="shared" si="60"/>
        <v>3.7503582688449416E-3</v>
      </c>
      <c r="E68" s="104">
        <f t="shared" si="60"/>
        <v>5.2507881914588689E-3</v>
      </c>
      <c r="F68" s="104">
        <f t="shared" si="60"/>
        <v>6.7512181140728031E-3</v>
      </c>
      <c r="G68" s="104">
        <f t="shared" si="60"/>
        <v>8.2502149613069703E-3</v>
      </c>
      <c r="H68" s="104">
        <f t="shared" si="60"/>
        <v>7.3731367153912347E-3</v>
      </c>
      <c r="I68" s="104">
        <f t="shared" si="60"/>
        <v>7.1122785898539154E-4</v>
      </c>
      <c r="J68" s="132">
        <f t="shared" si="60"/>
        <v>0</v>
      </c>
    </row>
    <row r="69" spans="1:10" hidden="1" x14ac:dyDescent="0.25">
      <c r="A69" s="110" t="s">
        <v>82</v>
      </c>
      <c r="B69" s="116">
        <f>B62+B67</f>
        <v>2.0152572656921757E-2</v>
      </c>
      <c r="C69" s="105">
        <f t="shared" ref="C69" si="61">C62+C67</f>
        <v>3.1581406133562626E-2</v>
      </c>
      <c r="D69" s="105">
        <f t="shared" ref="D69" si="62">D62+D67</f>
        <v>3.9735948982516478E-2</v>
      </c>
      <c r="E69" s="105">
        <f t="shared" ref="E69" si="63">E62+E67</f>
        <v>4.7898287761536255E-2</v>
      </c>
      <c r="F69" s="105">
        <f t="shared" ref="F69" si="64">F62+F67</f>
        <v>5.606062654055604E-2</v>
      </c>
      <c r="G69" s="105">
        <f t="shared" ref="G69" si="65">G62+G67</f>
        <v>6.4215169389509899E-2</v>
      </c>
      <c r="H69" s="105">
        <f t="shared" ref="H69" si="66">H62+H67</f>
        <v>7.237750816852967E-2</v>
      </c>
      <c r="I69" s="105">
        <f t="shared" ref="I69" si="67">I62+I67</f>
        <v>8.053984694754944E-2</v>
      </c>
      <c r="J69" s="111">
        <f t="shared" ref="J69" si="68">J62+J67</f>
        <v>8.8694389796503292E-2</v>
      </c>
    </row>
    <row r="70" spans="1:10" hidden="1" x14ac:dyDescent="0.25">
      <c r="A70" s="110" t="s">
        <v>77</v>
      </c>
      <c r="B70" s="116">
        <f t="shared" ref="B70:J70" si="69">IF(B69&gt;0.07,0.07,B69)</f>
        <v>2.0152572656921757E-2</v>
      </c>
      <c r="C70" s="105">
        <f t="shared" si="69"/>
        <v>3.1581406133562626E-2</v>
      </c>
      <c r="D70" s="105">
        <f t="shared" si="69"/>
        <v>3.9735948982516478E-2</v>
      </c>
      <c r="E70" s="105">
        <f t="shared" si="69"/>
        <v>4.7898287761536255E-2</v>
      </c>
      <c r="F70" s="105">
        <f t="shared" si="69"/>
        <v>5.606062654055604E-2</v>
      </c>
      <c r="G70" s="105">
        <f t="shared" si="69"/>
        <v>6.4215169389509899E-2</v>
      </c>
      <c r="H70" s="105">
        <f t="shared" si="69"/>
        <v>7.0000000000000007E-2</v>
      </c>
      <c r="I70" s="105">
        <f t="shared" si="69"/>
        <v>7.0000000000000007E-2</v>
      </c>
      <c r="J70" s="111">
        <f t="shared" si="69"/>
        <v>7.0000000000000007E-2</v>
      </c>
    </row>
    <row r="71" spans="1:10" hidden="1" x14ac:dyDescent="0.25">
      <c r="A71" s="180" t="s">
        <v>84</v>
      </c>
      <c r="B71" s="133">
        <f>B60*B67</f>
        <v>1.5799656061908855E-2</v>
      </c>
      <c r="C71" s="126">
        <f t="shared" ref="C71:J71" si="70">C60*C67</f>
        <v>3.53688879335053</v>
      </c>
      <c r="D71" s="126">
        <f t="shared" si="70"/>
        <v>9.8146875895672103</v>
      </c>
      <c r="E71" s="126">
        <f t="shared" si="70"/>
        <v>19.238887933505303</v>
      </c>
      <c r="F71" s="126">
        <f t="shared" si="70"/>
        <v>31.804988535396962</v>
      </c>
      <c r="G71" s="126">
        <f t="shared" si="70"/>
        <v>47.496487532244196</v>
      </c>
      <c r="H71" s="126">
        <f t="shared" si="70"/>
        <v>66.343387790197767</v>
      </c>
      <c r="I71" s="126">
        <f t="shared" si="70"/>
        <v>88.332188306104896</v>
      </c>
      <c r="J71" s="134">
        <f t="shared" si="70"/>
        <v>113.43738750358267</v>
      </c>
    </row>
    <row r="72" spans="1:10" hidden="1" x14ac:dyDescent="0.25">
      <c r="A72" s="181" t="s">
        <v>80</v>
      </c>
      <c r="B72" s="135">
        <f>B61*(0.015*2)</f>
        <v>3.0094582975064487E-4</v>
      </c>
      <c r="C72" s="127">
        <f t="shared" ref="C72:J72" si="71">C61*(0.015*2)</f>
        <v>4.5027228432215531E-3</v>
      </c>
      <c r="D72" s="127">
        <f t="shared" si="71"/>
        <v>7.5007165376898815E-3</v>
      </c>
      <c r="E72" s="127">
        <f t="shared" si="71"/>
        <v>1.0501576382917741E-2</v>
      </c>
      <c r="F72" s="127">
        <f t="shared" si="71"/>
        <v>1.3502436228145601E-2</v>
      </c>
      <c r="G72" s="127">
        <f t="shared" si="71"/>
        <v>1.650042992261393E-2</v>
      </c>
      <c r="H72" s="127">
        <f t="shared" si="71"/>
        <v>1.9501289767841788E-2</v>
      </c>
      <c r="I72" s="127">
        <f t="shared" si="71"/>
        <v>2.2502149613069646E-2</v>
      </c>
      <c r="J72" s="136">
        <f t="shared" si="71"/>
        <v>2.5500143307537974E-2</v>
      </c>
    </row>
    <row r="73" spans="1:10" hidden="1" x14ac:dyDescent="0.25">
      <c r="A73" s="181" t="s">
        <v>81</v>
      </c>
      <c r="B73" s="135">
        <f>IF(B74-B62&lt;0,0,B74-B62)</f>
        <v>3.0094582975064357E-4</v>
      </c>
      <c r="C73" s="127">
        <f t="shared" ref="C73" si="72">IF(C74-C62&lt;0,0,C74-C62)</f>
        <v>4.5027228432215557E-3</v>
      </c>
      <c r="D73" s="127">
        <f t="shared" ref="D73" si="73">IF(D74-D62&lt;0,0,D74-D62)</f>
        <v>7.5007165376898832E-3</v>
      </c>
      <c r="E73" s="127">
        <f t="shared" ref="E73" si="74">IF(E74-E62&lt;0,0,E74-E62)</f>
        <v>1.0501576382917745E-2</v>
      </c>
      <c r="F73" s="127">
        <f t="shared" ref="F73" si="75">IF(F74-F62&lt;0,0,F74-F62)</f>
        <v>1.3502436228145606E-2</v>
      </c>
      <c r="G73" s="127">
        <f t="shared" ref="G73" si="76">IF(G74-G62&lt;0,0,G74-G62)</f>
        <v>1.6500429922613927E-2</v>
      </c>
      <c r="H73" s="127">
        <f t="shared" ref="H73" si="77">IF(H74-H62&lt;0,0,H74-H62)</f>
        <v>1.9501289767841781E-2</v>
      </c>
      <c r="I73" s="127">
        <f t="shared" ref="I73" si="78">IF(I74-I62&lt;0,0,I74-I62)</f>
        <v>2.250214961306965E-2</v>
      </c>
      <c r="J73" s="136">
        <f>IF(J74-J62&lt;0,0,J74-J62)</f>
        <v>2.550014330753797E-2</v>
      </c>
    </row>
    <row r="74" spans="1:10" hidden="1" x14ac:dyDescent="0.25">
      <c r="A74" s="181" t="s">
        <v>83</v>
      </c>
      <c r="B74" s="135">
        <f>B62+B72</f>
        <v>2.0303045571797077E-2</v>
      </c>
      <c r="C74" s="127">
        <f>C62+C72</f>
        <v>3.3832767555173407E-2</v>
      </c>
      <c r="D74" s="127">
        <f t="shared" ref="D74:J74" si="79">D62+D72</f>
        <v>4.348630725136142E-2</v>
      </c>
      <c r="E74" s="127">
        <f t="shared" si="79"/>
        <v>5.3149075952995131E-2</v>
      </c>
      <c r="F74" s="127">
        <f t="shared" si="79"/>
        <v>6.2811844654628843E-2</v>
      </c>
      <c r="G74" s="127">
        <f t="shared" si="79"/>
        <v>7.2465384350816855E-2</v>
      </c>
      <c r="H74" s="127">
        <f t="shared" si="79"/>
        <v>8.2128153052450553E-2</v>
      </c>
      <c r="I74" s="127">
        <f t="shared" si="79"/>
        <v>9.1790921754084265E-2</v>
      </c>
      <c r="J74" s="136">
        <f t="shared" si="79"/>
        <v>0.10144446145027228</v>
      </c>
    </row>
    <row r="75" spans="1:10" hidden="1" x14ac:dyDescent="0.25">
      <c r="A75" s="181" t="s">
        <v>78</v>
      </c>
      <c r="B75" s="135">
        <f>IF(B74&gt;0.07,0.07,B74)</f>
        <v>2.0303045571797077E-2</v>
      </c>
      <c r="C75" s="127">
        <f t="shared" ref="C75" si="80">IF(C74&gt;0.07,0.07,C74)</f>
        <v>3.3832767555173407E-2</v>
      </c>
      <c r="D75" s="127">
        <f t="shared" ref="D75" si="81">IF(D74&gt;0.07,0.07,D74)</f>
        <v>4.348630725136142E-2</v>
      </c>
      <c r="E75" s="127">
        <f t="shared" ref="E75" si="82">IF(E74&gt;0.07,0.07,E74)</f>
        <v>5.3149075952995131E-2</v>
      </c>
      <c r="F75" s="127">
        <f t="shared" ref="F75" si="83">IF(F74&gt;0.07,0.07,F74)</f>
        <v>6.2811844654628843E-2</v>
      </c>
      <c r="G75" s="127">
        <f t="shared" ref="G75" si="84">IF(G74&gt;0.07,0.07,G74)</f>
        <v>7.0000000000000007E-2</v>
      </c>
      <c r="H75" s="127">
        <f t="shared" ref="H75" si="85">IF(H74&gt;0.07,0.07,H74)</f>
        <v>7.0000000000000007E-2</v>
      </c>
      <c r="I75" s="127">
        <f t="shared" ref="I75" si="86">IF(I74&gt;0.07,0.07,I74)</f>
        <v>7.0000000000000007E-2</v>
      </c>
      <c r="J75" s="136">
        <f t="shared" ref="J75" si="87">IF(J74&gt;0.07,0.07,J74)</f>
        <v>7.0000000000000007E-2</v>
      </c>
    </row>
    <row r="76" spans="1:10" hidden="1" x14ac:dyDescent="0.25">
      <c r="A76" s="182" t="s">
        <v>88</v>
      </c>
      <c r="B76" s="137">
        <f>B60*B72</f>
        <v>3.159931212381771E-2</v>
      </c>
      <c r="C76" s="128">
        <f t="shared" ref="C76:J76" si="88">C60*C72</f>
        <v>7.0737775867010599</v>
      </c>
      <c r="D76" s="128">
        <f t="shared" si="88"/>
        <v>19.629375179134421</v>
      </c>
      <c r="E76" s="128">
        <f t="shared" si="88"/>
        <v>38.477775867010607</v>
      </c>
      <c r="F76" s="128">
        <f t="shared" si="88"/>
        <v>63.609977070793924</v>
      </c>
      <c r="G76" s="128">
        <f t="shared" si="88"/>
        <v>94.992975064488391</v>
      </c>
      <c r="H76" s="128">
        <f t="shared" si="88"/>
        <v>132.68677558039553</v>
      </c>
      <c r="I76" s="128">
        <f t="shared" si="88"/>
        <v>176.66437661220979</v>
      </c>
      <c r="J76" s="138">
        <f t="shared" si="88"/>
        <v>226.87477500716534</v>
      </c>
    </row>
    <row r="77" spans="1:10" hidden="1" x14ac:dyDescent="0.25">
      <c r="A77" s="183" t="s">
        <v>96</v>
      </c>
      <c r="B77" s="141">
        <f>B61*(0.015*3)</f>
        <v>4.5141874462596731E-4</v>
      </c>
      <c r="C77" s="129">
        <f t="shared" ref="C77:J77" si="89">C61*(0.015*3)</f>
        <v>6.7540842648323302E-3</v>
      </c>
      <c r="D77" s="129">
        <f t="shared" si="89"/>
        <v>1.1251074806534823E-2</v>
      </c>
      <c r="E77" s="129">
        <f t="shared" si="89"/>
        <v>1.5752364574376614E-2</v>
      </c>
      <c r="F77" s="129">
        <f t="shared" si="89"/>
        <v>2.0253654342218402E-2</v>
      </c>
      <c r="G77" s="129">
        <f t="shared" si="89"/>
        <v>2.4750644883920894E-2</v>
      </c>
      <c r="H77" s="129">
        <f t="shared" si="89"/>
        <v>2.9251934651762682E-2</v>
      </c>
      <c r="I77" s="129">
        <f t="shared" si="89"/>
        <v>3.3753224419604468E-2</v>
      </c>
      <c r="J77" s="142">
        <f t="shared" si="89"/>
        <v>3.8250214961306962E-2</v>
      </c>
    </row>
    <row r="78" spans="1:10" hidden="1" x14ac:dyDescent="0.25">
      <c r="A78" s="183" t="s">
        <v>97</v>
      </c>
      <c r="B78" s="141">
        <f>IF(B79-B62&lt;0,0,B79-B62)</f>
        <v>4.5141874462596709E-4</v>
      </c>
      <c r="C78" s="129">
        <f t="shared" ref="C78:J78" si="90">IF(C79-C62&lt;0,0,C79-C62)</f>
        <v>6.7540842648323302E-3</v>
      </c>
      <c r="D78" s="129">
        <f t="shared" si="90"/>
        <v>1.1251074806534825E-2</v>
      </c>
      <c r="E78" s="129">
        <f t="shared" si="90"/>
        <v>1.5752364574376614E-2</v>
      </c>
      <c r="F78" s="129">
        <f t="shared" si="90"/>
        <v>2.0253654342218402E-2</v>
      </c>
      <c r="G78" s="129">
        <f t="shared" si="90"/>
        <v>2.4750644883920897E-2</v>
      </c>
      <c r="H78" s="129">
        <f t="shared" si="90"/>
        <v>2.9251934651762679E-2</v>
      </c>
      <c r="I78" s="129">
        <f t="shared" si="90"/>
        <v>3.3753224419604461E-2</v>
      </c>
      <c r="J78" s="142">
        <f t="shared" si="90"/>
        <v>3.8250214961306955E-2</v>
      </c>
    </row>
    <row r="79" spans="1:10" hidden="1" x14ac:dyDescent="0.25">
      <c r="A79" s="183" t="s">
        <v>98</v>
      </c>
      <c r="B79" s="141">
        <f>B62+B77</f>
        <v>2.0453518486672401E-2</v>
      </c>
      <c r="C79" s="129">
        <f t="shared" ref="C79:J79" si="91">C62+C77</f>
        <v>3.6084128976784181E-2</v>
      </c>
      <c r="D79" s="129">
        <f t="shared" si="91"/>
        <v>4.7236665520206361E-2</v>
      </c>
      <c r="E79" s="129">
        <f t="shared" si="91"/>
        <v>5.8399864144454E-2</v>
      </c>
      <c r="F79" s="129">
        <f t="shared" si="91"/>
        <v>6.9563062768701639E-2</v>
      </c>
      <c r="G79" s="129">
        <f t="shared" si="91"/>
        <v>8.0715599312123826E-2</v>
      </c>
      <c r="H79" s="129">
        <f t="shared" si="91"/>
        <v>9.1878797936371451E-2</v>
      </c>
      <c r="I79" s="129">
        <f t="shared" si="91"/>
        <v>0.10304199656061908</v>
      </c>
      <c r="J79" s="142">
        <f t="shared" si="91"/>
        <v>0.11419453310404126</v>
      </c>
    </row>
    <row r="80" spans="1:10" hidden="1" x14ac:dyDescent="0.25">
      <c r="A80" s="183" t="s">
        <v>99</v>
      </c>
      <c r="B80" s="141">
        <f>IF(B79&gt;0.07,0.07,B79)</f>
        <v>2.0453518486672401E-2</v>
      </c>
      <c r="C80" s="129">
        <f t="shared" ref="C80:J80" si="92">IF(C79&gt;0.07,0.07,C79)</f>
        <v>3.6084128976784181E-2</v>
      </c>
      <c r="D80" s="129">
        <f t="shared" si="92"/>
        <v>4.7236665520206361E-2</v>
      </c>
      <c r="E80" s="129">
        <f t="shared" si="92"/>
        <v>5.8399864144454E-2</v>
      </c>
      <c r="F80" s="129">
        <f t="shared" si="92"/>
        <v>6.9563062768701639E-2</v>
      </c>
      <c r="G80" s="129">
        <f t="shared" si="92"/>
        <v>7.0000000000000007E-2</v>
      </c>
      <c r="H80" s="129">
        <f t="shared" si="92"/>
        <v>7.0000000000000007E-2</v>
      </c>
      <c r="I80" s="129">
        <f t="shared" si="92"/>
        <v>7.0000000000000007E-2</v>
      </c>
      <c r="J80" s="142">
        <f t="shared" si="92"/>
        <v>7.0000000000000007E-2</v>
      </c>
    </row>
    <row r="81" spans="1:10" hidden="1" x14ac:dyDescent="0.25">
      <c r="A81" s="184" t="s">
        <v>100</v>
      </c>
      <c r="B81" s="143">
        <f>B60*B77</f>
        <v>4.7398968185726566E-2</v>
      </c>
      <c r="C81" s="130">
        <f t="shared" ref="C81:J81" si="93">C60*C77</f>
        <v>10.61066638005159</v>
      </c>
      <c r="D81" s="130">
        <f t="shared" si="93"/>
        <v>29.444062768701631</v>
      </c>
      <c r="E81" s="130">
        <f t="shared" si="93"/>
        <v>57.71666380051591</v>
      </c>
      <c r="F81" s="130">
        <f t="shared" si="93"/>
        <v>95.41496560619089</v>
      </c>
      <c r="G81" s="130">
        <f t="shared" si="93"/>
        <v>142.48946259673258</v>
      </c>
      <c r="H81" s="130">
        <f t="shared" si="93"/>
        <v>199.0301633705933</v>
      </c>
      <c r="I81" s="130">
        <f t="shared" si="93"/>
        <v>264.99656491831468</v>
      </c>
      <c r="J81" s="144">
        <f t="shared" si="93"/>
        <v>340.31216251074807</v>
      </c>
    </row>
    <row r="82" spans="1:10" hidden="1" x14ac:dyDescent="0.25">
      <c r="A82" s="180" t="s">
        <v>85</v>
      </c>
      <c r="B82" s="139">
        <f t="shared" ref="B82:J82" si="94">B66+B71</f>
        <v>2.1160201289767842</v>
      </c>
      <c r="C82" s="106">
        <f t="shared" si="94"/>
        <v>49.614389035826889</v>
      </c>
      <c r="D82" s="106">
        <f t="shared" si="94"/>
        <v>103.98897848724562</v>
      </c>
      <c r="E82" s="106">
        <f t="shared" si="94"/>
        <v>175.49932635826886</v>
      </c>
      <c r="F82" s="106">
        <f t="shared" si="94"/>
        <v>264.10161163255947</v>
      </c>
      <c r="G82" s="106">
        <f t="shared" si="94"/>
        <v>369.68673017540846</v>
      </c>
      <c r="H82" s="106">
        <f t="shared" si="94"/>
        <v>492.45656557867585</v>
      </c>
      <c r="I82" s="106">
        <f t="shared" si="94"/>
        <v>632.31833838521061</v>
      </c>
      <c r="J82" s="140">
        <f t="shared" si="94"/>
        <v>736.2273875035828</v>
      </c>
    </row>
    <row r="83" spans="1:10" s="53" customFormat="1" hidden="1" x14ac:dyDescent="0.25">
      <c r="A83" s="180" t="s">
        <v>86</v>
      </c>
      <c r="B83" s="139">
        <f t="shared" ref="B83:J83" si="95">IF(B82&gt;B64,B64,B82)</f>
        <v>2.1160201289767842</v>
      </c>
      <c r="C83" s="106">
        <f t="shared" si="95"/>
        <v>49.614389035826889</v>
      </c>
      <c r="D83" s="106">
        <f t="shared" si="95"/>
        <v>103.98897848724562</v>
      </c>
      <c r="E83" s="106">
        <f t="shared" si="95"/>
        <v>175.49932635826886</v>
      </c>
      <c r="F83" s="106">
        <f t="shared" si="95"/>
        <v>264.10161163255947</v>
      </c>
      <c r="G83" s="106">
        <f t="shared" si="95"/>
        <v>369.68673017540846</v>
      </c>
      <c r="H83" s="106">
        <f t="shared" si="95"/>
        <v>476.28000000000003</v>
      </c>
      <c r="I83" s="106">
        <f t="shared" si="95"/>
        <v>549.57000000000005</v>
      </c>
      <c r="J83" s="140">
        <f t="shared" si="95"/>
        <v>622.79000000000008</v>
      </c>
    </row>
    <row r="84" spans="1:10" hidden="1" x14ac:dyDescent="0.25">
      <c r="A84" s="180" t="s">
        <v>87</v>
      </c>
      <c r="B84" s="139">
        <f t="shared" ref="B84:J84" si="96">B66+B71+B76</f>
        <v>2.147619441100602</v>
      </c>
      <c r="C84" s="106">
        <f t="shared" si="96"/>
        <v>56.688166622527952</v>
      </c>
      <c r="D84" s="106">
        <f t="shared" si="96"/>
        <v>123.61835366638005</v>
      </c>
      <c r="E84" s="106">
        <f t="shared" si="96"/>
        <v>213.97710222527945</v>
      </c>
      <c r="F84" s="106">
        <f t="shared" si="96"/>
        <v>327.71158870335341</v>
      </c>
      <c r="G84" s="106">
        <f t="shared" si="96"/>
        <v>464.67970523989686</v>
      </c>
      <c r="H84" s="106">
        <f t="shared" si="96"/>
        <v>625.14334115907138</v>
      </c>
      <c r="I84" s="106">
        <f t="shared" si="96"/>
        <v>808.98271499742043</v>
      </c>
      <c r="J84" s="140">
        <f t="shared" si="96"/>
        <v>963.10216251074814</v>
      </c>
    </row>
    <row r="85" spans="1:10" hidden="1" x14ac:dyDescent="0.25">
      <c r="A85" s="180" t="s">
        <v>89</v>
      </c>
      <c r="B85" s="139">
        <f t="shared" ref="B85:J85" si="97">IF(B84&gt;B64,B64,B84)</f>
        <v>2.147619441100602</v>
      </c>
      <c r="C85" s="106">
        <f t="shared" si="97"/>
        <v>56.688166622527952</v>
      </c>
      <c r="D85" s="106">
        <f t="shared" si="97"/>
        <v>123.61835366638005</v>
      </c>
      <c r="E85" s="106">
        <f t="shared" si="97"/>
        <v>213.97710222527945</v>
      </c>
      <c r="F85" s="106">
        <f t="shared" si="97"/>
        <v>327.71158870335341</v>
      </c>
      <c r="G85" s="106">
        <f t="shared" si="97"/>
        <v>402.99000000000007</v>
      </c>
      <c r="H85" s="106">
        <f t="shared" si="97"/>
        <v>476.28000000000003</v>
      </c>
      <c r="I85" s="106">
        <f t="shared" si="97"/>
        <v>549.57000000000005</v>
      </c>
      <c r="J85" s="140">
        <f t="shared" si="97"/>
        <v>622.79000000000008</v>
      </c>
    </row>
    <row r="86" spans="1:10" hidden="1" x14ac:dyDescent="0.25">
      <c r="A86" s="180" t="s">
        <v>102</v>
      </c>
      <c r="B86" s="139">
        <f>B66+B71+B76+B81</f>
        <v>2.1950184092863285</v>
      </c>
      <c r="C86" s="106">
        <f t="shared" ref="C86:J86" si="98">C66+C71+C76+C81</f>
        <v>67.298833002579542</v>
      </c>
      <c r="D86" s="106">
        <f t="shared" si="98"/>
        <v>153.06241643508167</v>
      </c>
      <c r="E86" s="106">
        <f t="shared" si="98"/>
        <v>271.69376602579536</v>
      </c>
      <c r="F86" s="106">
        <f t="shared" si="98"/>
        <v>423.1265543095443</v>
      </c>
      <c r="G86" s="106">
        <f t="shared" si="98"/>
        <v>607.16916783662941</v>
      </c>
      <c r="H86" s="106">
        <f t="shared" si="98"/>
        <v>824.17350452966468</v>
      </c>
      <c r="I86" s="106">
        <f t="shared" si="98"/>
        <v>1073.9792799157351</v>
      </c>
      <c r="J86" s="140">
        <f t="shared" si="98"/>
        <v>1303.4143250214961</v>
      </c>
    </row>
    <row r="87" spans="1:10" hidden="1" x14ac:dyDescent="0.25">
      <c r="A87" s="180" t="s">
        <v>101</v>
      </c>
      <c r="B87" s="139">
        <f>IF(B86&gt;B64,B64,B86)</f>
        <v>2.1950184092863285</v>
      </c>
      <c r="C87" s="106">
        <f t="shared" ref="C87:J87" si="99">IF(C86&gt;C64,C64,C86)</f>
        <v>67.298833002579542</v>
      </c>
      <c r="D87" s="106">
        <f t="shared" si="99"/>
        <v>153.06241643508167</v>
      </c>
      <c r="E87" s="106">
        <f t="shared" si="99"/>
        <v>256.48</v>
      </c>
      <c r="F87" s="106">
        <f t="shared" si="99"/>
        <v>329.77000000000004</v>
      </c>
      <c r="G87" s="106">
        <f t="shared" si="99"/>
        <v>402.99000000000007</v>
      </c>
      <c r="H87" s="106">
        <f t="shared" si="99"/>
        <v>476.28000000000003</v>
      </c>
      <c r="I87" s="106">
        <f t="shared" si="99"/>
        <v>549.57000000000005</v>
      </c>
      <c r="J87" s="140">
        <f t="shared" si="99"/>
        <v>622.79000000000008</v>
      </c>
    </row>
    <row r="88" spans="1:10" x14ac:dyDescent="0.25">
      <c r="A88" s="172" t="s">
        <v>64</v>
      </c>
      <c r="B88" s="157">
        <f>ROUND(B66,0)</f>
        <v>2</v>
      </c>
      <c r="C88" s="158">
        <f>ROUND(C66,0)</f>
        <v>46</v>
      </c>
      <c r="D88" s="158">
        <f t="shared" ref="D88:J88" si="100">ROUND(D66,0)</f>
        <v>94</v>
      </c>
      <c r="E88" s="158">
        <f t="shared" si="100"/>
        <v>156</v>
      </c>
      <c r="F88" s="158">
        <f t="shared" si="100"/>
        <v>232</v>
      </c>
      <c r="G88" s="158">
        <f t="shared" si="100"/>
        <v>322</v>
      </c>
      <c r="H88" s="158">
        <f t="shared" si="100"/>
        <v>426</v>
      </c>
      <c r="I88" s="158">
        <f t="shared" si="100"/>
        <v>544</v>
      </c>
      <c r="J88" s="159">
        <f t="shared" si="100"/>
        <v>623</v>
      </c>
    </row>
    <row r="89" spans="1:10" x14ac:dyDescent="0.25">
      <c r="A89" s="172" t="s">
        <v>90</v>
      </c>
      <c r="B89" s="157">
        <f>ROUND((B88/22)*5,0)</f>
        <v>0</v>
      </c>
      <c r="C89" s="158">
        <f>ROUND((C88/22)*5,0)</f>
        <v>10</v>
      </c>
      <c r="D89" s="158">
        <f t="shared" ref="D89" si="101">ROUND((D88/22)*5,0)</f>
        <v>21</v>
      </c>
      <c r="E89" s="158">
        <f t="shared" ref="E89" si="102">ROUND((E88/22)*5,0)</f>
        <v>35</v>
      </c>
      <c r="F89" s="158">
        <f t="shared" ref="F89" si="103">ROUND((F88/22)*5,0)</f>
        <v>53</v>
      </c>
      <c r="G89" s="158">
        <f t="shared" ref="G89" si="104">ROUND((G88/22)*5,0)</f>
        <v>73</v>
      </c>
      <c r="H89" s="158">
        <f t="shared" ref="H89" si="105">ROUND((H88/22)*5,0)</f>
        <v>97</v>
      </c>
      <c r="I89" s="158">
        <f t="shared" ref="I89" si="106">ROUND((I88/22)*5,0)</f>
        <v>124</v>
      </c>
      <c r="J89" s="159">
        <f t="shared" ref="J89" si="107">ROUND((J88/22)*5,0)</f>
        <v>142</v>
      </c>
    </row>
    <row r="90" spans="1:10" x14ac:dyDescent="0.25">
      <c r="A90" s="172" t="s">
        <v>66</v>
      </c>
      <c r="B90" s="157">
        <f>ROUND(B60*B70,0)</f>
        <v>2</v>
      </c>
      <c r="C90" s="158">
        <f t="shared" ref="C90:J90" si="108">ROUND(C60*C70,0)</f>
        <v>50</v>
      </c>
      <c r="D90" s="158">
        <f t="shared" si="108"/>
        <v>104</v>
      </c>
      <c r="E90" s="158">
        <f t="shared" si="108"/>
        <v>175</v>
      </c>
      <c r="F90" s="158">
        <f t="shared" si="108"/>
        <v>264</v>
      </c>
      <c r="G90" s="158">
        <f t="shared" si="108"/>
        <v>370</v>
      </c>
      <c r="H90" s="158">
        <f t="shared" si="108"/>
        <v>476</v>
      </c>
      <c r="I90" s="158">
        <f t="shared" si="108"/>
        <v>550</v>
      </c>
      <c r="J90" s="159">
        <f t="shared" si="108"/>
        <v>623</v>
      </c>
    </row>
    <row r="91" spans="1:10" x14ac:dyDescent="0.25">
      <c r="A91" s="172" t="s">
        <v>91</v>
      </c>
      <c r="B91" s="157">
        <f>ROUND((B90/22)*5,0)</f>
        <v>0</v>
      </c>
      <c r="C91" s="158">
        <f t="shared" ref="C91" si="109">ROUND((C90/22)*5,0)</f>
        <v>11</v>
      </c>
      <c r="D91" s="158">
        <f t="shared" ref="D91" si="110">ROUND((D90/22)*5,0)</f>
        <v>24</v>
      </c>
      <c r="E91" s="158">
        <f t="shared" ref="E91" si="111">ROUND((E90/22)*5,0)</f>
        <v>40</v>
      </c>
      <c r="F91" s="158">
        <f t="shared" ref="F91" si="112">ROUND((F90/22)*5,0)</f>
        <v>60</v>
      </c>
      <c r="G91" s="158">
        <f t="shared" ref="G91" si="113">ROUND((G90/22)*5,0)</f>
        <v>84</v>
      </c>
      <c r="H91" s="158">
        <f t="shared" ref="H91" si="114">ROUND((H90/22)*5,0)</f>
        <v>108</v>
      </c>
      <c r="I91" s="158">
        <f t="shared" ref="I91" si="115">ROUND((I90/22)*5,0)</f>
        <v>125</v>
      </c>
      <c r="J91" s="159">
        <f t="shared" ref="J91" si="116">ROUND((J90/22)*5,0)</f>
        <v>142</v>
      </c>
    </row>
    <row r="92" spans="1:10" x14ac:dyDescent="0.25">
      <c r="A92" s="172" t="s">
        <v>92</v>
      </c>
      <c r="B92" s="157">
        <f>ROUND(B60*B75,0)</f>
        <v>2</v>
      </c>
      <c r="C92" s="158">
        <f>ROUND(C60*C75,0)</f>
        <v>53</v>
      </c>
      <c r="D92" s="158">
        <f t="shared" ref="D92:J92" si="117">ROUND(D60*D75,0)</f>
        <v>114</v>
      </c>
      <c r="E92" s="158">
        <f t="shared" si="117"/>
        <v>195</v>
      </c>
      <c r="F92" s="158">
        <f t="shared" si="117"/>
        <v>296</v>
      </c>
      <c r="G92" s="158">
        <f t="shared" si="117"/>
        <v>403</v>
      </c>
      <c r="H92" s="158">
        <f t="shared" si="117"/>
        <v>476</v>
      </c>
      <c r="I92" s="158">
        <f t="shared" si="117"/>
        <v>550</v>
      </c>
      <c r="J92" s="159">
        <f t="shared" si="117"/>
        <v>623</v>
      </c>
    </row>
    <row r="93" spans="1:10" x14ac:dyDescent="0.25">
      <c r="A93" s="172" t="s">
        <v>93</v>
      </c>
      <c r="B93" s="157">
        <f>ROUND((B92/22)*5,0)</f>
        <v>0</v>
      </c>
      <c r="C93" s="158">
        <f t="shared" ref="C93" si="118">ROUND((C92/22)*5,0)</f>
        <v>12</v>
      </c>
      <c r="D93" s="158">
        <f t="shared" ref="D93" si="119">ROUND((D92/22)*5,0)</f>
        <v>26</v>
      </c>
      <c r="E93" s="158">
        <f t="shared" ref="E93" si="120">ROUND((E92/22)*5,0)</f>
        <v>44</v>
      </c>
      <c r="F93" s="158">
        <f t="shared" ref="F93" si="121">ROUND((F92/22)*5,0)</f>
        <v>67</v>
      </c>
      <c r="G93" s="158">
        <f t="shared" ref="G93" si="122">ROUND((G92/22)*5,0)</f>
        <v>92</v>
      </c>
      <c r="H93" s="158">
        <f t="shared" ref="H93" si="123">ROUND((H92/22)*5,0)</f>
        <v>108</v>
      </c>
      <c r="I93" s="158">
        <f t="shared" ref="I93" si="124">ROUND((I92/22)*5,0)</f>
        <v>125</v>
      </c>
      <c r="J93" s="159">
        <f t="shared" ref="J93" si="125">ROUND((J92/22)*5,0)</f>
        <v>142</v>
      </c>
    </row>
    <row r="94" spans="1:10" x14ac:dyDescent="0.25">
      <c r="A94" s="172" t="s">
        <v>103</v>
      </c>
      <c r="B94" s="157">
        <f>ROUND(B60*B80,0)</f>
        <v>2</v>
      </c>
      <c r="C94" s="158">
        <f t="shared" ref="C94:J94" si="126">ROUND(C60*C80,0)</f>
        <v>57</v>
      </c>
      <c r="D94" s="158">
        <f t="shared" si="126"/>
        <v>124</v>
      </c>
      <c r="E94" s="158">
        <f t="shared" si="126"/>
        <v>214</v>
      </c>
      <c r="F94" s="158">
        <f t="shared" si="126"/>
        <v>328</v>
      </c>
      <c r="G94" s="158">
        <f t="shared" si="126"/>
        <v>403</v>
      </c>
      <c r="H94" s="158">
        <f t="shared" si="126"/>
        <v>476</v>
      </c>
      <c r="I94" s="158">
        <f t="shared" si="126"/>
        <v>550</v>
      </c>
      <c r="J94" s="159">
        <f t="shared" si="126"/>
        <v>623</v>
      </c>
    </row>
    <row r="95" spans="1:10" ht="15.75" thickBot="1" x14ac:dyDescent="0.3">
      <c r="A95" s="173" t="s">
        <v>104</v>
      </c>
      <c r="B95" s="160">
        <f>ROUND((B94/22)*5,0)</f>
        <v>0</v>
      </c>
      <c r="C95" s="161">
        <f t="shared" ref="C95:J95" si="127">ROUND((C94/22)*5,0)</f>
        <v>13</v>
      </c>
      <c r="D95" s="161">
        <f t="shared" si="127"/>
        <v>28</v>
      </c>
      <c r="E95" s="161">
        <f t="shared" si="127"/>
        <v>49</v>
      </c>
      <c r="F95" s="161">
        <f t="shared" si="127"/>
        <v>75</v>
      </c>
      <c r="G95" s="161">
        <f t="shared" si="127"/>
        <v>92</v>
      </c>
      <c r="H95" s="161">
        <f t="shared" si="127"/>
        <v>108</v>
      </c>
      <c r="I95" s="161">
        <f t="shared" si="127"/>
        <v>125</v>
      </c>
      <c r="J95" s="162">
        <f t="shared" si="127"/>
        <v>142</v>
      </c>
    </row>
    <row r="96" spans="1:10" ht="6.6" customHeight="1" x14ac:dyDescent="0.25">
      <c r="A96" s="51"/>
      <c r="B96" s="51"/>
      <c r="C96" s="49"/>
      <c r="D96" s="49"/>
      <c r="E96" s="49"/>
      <c r="F96" s="49"/>
      <c r="G96" s="49"/>
      <c r="H96" s="49"/>
      <c r="I96" s="49"/>
      <c r="J96" s="49"/>
    </row>
    <row r="97" spans="1:1" x14ac:dyDescent="0.25">
      <c r="A97" s="48" t="s">
        <v>21</v>
      </c>
    </row>
  </sheetData>
  <pageMargins left="0.7" right="0.7" top="0.75" bottom="0.75" header="0.3" footer="0.3"/>
  <pageSetup scale="8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F4BA-4889-4E9C-B441-ED21B737A011}">
  <dimension ref="M2:V30"/>
  <sheetViews>
    <sheetView zoomScale="80" zoomScaleNormal="80" workbookViewId="0">
      <selection activeCell="C20" sqref="C20"/>
    </sheetView>
  </sheetViews>
  <sheetFormatPr defaultRowHeight="15" x14ac:dyDescent="0.25"/>
  <cols>
    <col min="13" max="13" width="22.28515625" bestFit="1" customWidth="1"/>
  </cols>
  <sheetData>
    <row r="2" spans="13:22" x14ac:dyDescent="0.25">
      <c r="M2" t="s">
        <v>31</v>
      </c>
      <c r="N2" s="66">
        <f>'PSoC Chart'!B2</f>
        <v>0.01</v>
      </c>
      <c r="O2" s="66">
        <f>'PSoC Chart'!C2</f>
        <v>0.15</v>
      </c>
      <c r="P2" s="66">
        <f>'PSoC Chart'!D2</f>
        <v>0.25</v>
      </c>
      <c r="Q2" s="66">
        <f>'PSoC Chart'!E2</f>
        <v>0.35</v>
      </c>
      <c r="R2" s="66">
        <f>'PSoC Chart'!F2</f>
        <v>0.45</v>
      </c>
      <c r="S2" s="66">
        <f>'PSoC Chart'!G2</f>
        <v>0.55000000000000004</v>
      </c>
      <c r="T2" s="66">
        <f>'PSoC Chart'!H2</f>
        <v>0.65</v>
      </c>
      <c r="U2" s="66">
        <f>'PSoC Chart'!I2</f>
        <v>0.75</v>
      </c>
      <c r="V2" s="66">
        <f>'PSoC Chart'!J2</f>
        <v>0.85</v>
      </c>
    </row>
    <row r="3" spans="13:22" x14ac:dyDescent="0.25">
      <c r="M3" t="s">
        <v>57</v>
      </c>
      <c r="N3" s="71">
        <f>'PSoC Chart'!B3</f>
        <v>2.0006946544980444E-2</v>
      </c>
      <c r="O3" s="71">
        <f>'PSoC Chart'!C3</f>
        <v>2.9330512385919168E-2</v>
      </c>
      <c r="P3" s="71">
        <f>'PSoC Chart'!D3</f>
        <v>3.5984000000000002E-2</v>
      </c>
      <c r="Q3" s="71">
        <f>'PSoC Chart'!E3</f>
        <v>4.264834159061278E-2</v>
      </c>
      <c r="R3" s="71">
        <f>'PSoC Chart'!F3</f>
        <v>4.9312683181225558E-2</v>
      </c>
      <c r="S3" s="71">
        <f>'PSoC Chart'!G3</f>
        <v>5.5966170795306386E-2</v>
      </c>
      <c r="T3" s="71">
        <f>'PSoC Chart'!H3</f>
        <v>6.2630512385919171E-2</v>
      </c>
      <c r="U3" s="71">
        <f>'PSoC Chart'!I3</f>
        <v>6.9283999999999998E-2</v>
      </c>
      <c r="V3" s="71">
        <f>'PSoC Chart'!J3</f>
        <v>7.0000000000000007E-2</v>
      </c>
    </row>
    <row r="4" spans="13:22" x14ac:dyDescent="0.25">
      <c r="M4" t="s">
        <v>58</v>
      </c>
      <c r="N4" s="71">
        <f>'PSoC Chart'!B4</f>
        <v>1.503957783641173E-4</v>
      </c>
      <c r="O4" s="71">
        <f>'PSoC Chart'!C4</f>
        <v>2.250000000000002E-3</v>
      </c>
      <c r="P4" s="71">
        <f>'PSoC Chart'!D4</f>
        <v>3.7500000000000033E-3</v>
      </c>
      <c r="Q4" s="71">
        <f>'PSoC Chart'!E4</f>
        <v>5.2499999999999977E-3</v>
      </c>
      <c r="R4" s="71">
        <f>'PSoC Chart'!F4</f>
        <v>6.7499999999999991E-3</v>
      </c>
      <c r="S4" s="71">
        <f>'PSoC Chart'!G4</f>
        <v>8.2500000000000073E-3</v>
      </c>
      <c r="T4" s="71">
        <f>'PSoC Chart'!H4</f>
        <v>7.3760000000000076E-3</v>
      </c>
      <c r="U4" s="71">
        <f>'PSoC Chart'!I4</f>
        <v>7.160000000000083E-4</v>
      </c>
      <c r="V4" s="71">
        <f>'PSoC Chart'!J4</f>
        <v>0</v>
      </c>
    </row>
    <row r="7" spans="13:22" x14ac:dyDescent="0.25">
      <c r="N7" s="70"/>
      <c r="O7" s="70"/>
      <c r="P7" s="70"/>
      <c r="Q7" s="70"/>
      <c r="R7" s="70"/>
      <c r="S7" s="70"/>
      <c r="T7" s="70"/>
      <c r="U7" s="70"/>
      <c r="V7" s="70"/>
    </row>
    <row r="8" spans="13:22" x14ac:dyDescent="0.25">
      <c r="N8" s="70"/>
      <c r="O8" s="70"/>
      <c r="P8" s="70"/>
      <c r="Q8" s="70"/>
      <c r="R8" s="70"/>
      <c r="S8" s="70"/>
      <c r="T8" s="70"/>
      <c r="U8" s="70"/>
      <c r="V8" s="70"/>
    </row>
    <row r="26" spans="13:22" x14ac:dyDescent="0.25">
      <c r="M26" t="s">
        <v>59</v>
      </c>
      <c r="N26" s="66">
        <f>'PSoC Chart'!B2</f>
        <v>0.01</v>
      </c>
      <c r="O26" s="66">
        <f>'PSoC Chart'!C2</f>
        <v>0.15</v>
      </c>
      <c r="P26" s="66">
        <f>'PSoC Chart'!D2</f>
        <v>0.25</v>
      </c>
      <c r="Q26" s="66">
        <f>'PSoC Chart'!E2</f>
        <v>0.35</v>
      </c>
      <c r="R26" s="66">
        <f>'PSoC Chart'!F2</f>
        <v>0.45</v>
      </c>
      <c r="S26" s="66">
        <f>'PSoC Chart'!G2</f>
        <v>0.55000000000000004</v>
      </c>
      <c r="T26" s="66">
        <f>'PSoC Chart'!H2</f>
        <v>0.65</v>
      </c>
      <c r="U26" s="66">
        <f>'PSoC Chart'!I2</f>
        <v>0.75</v>
      </c>
      <c r="V26" s="66">
        <f>'PSoC Chart'!J2</f>
        <v>0.85</v>
      </c>
    </row>
    <row r="27" spans="13:22" x14ac:dyDescent="0.25">
      <c r="M27" t="s">
        <v>60</v>
      </c>
      <c r="N27" s="71">
        <f>'PSoC Chart'!B3</f>
        <v>2.0006946544980444E-2</v>
      </c>
      <c r="O27" s="71">
        <f>'PSoC Chart'!C3</f>
        <v>2.9330512385919168E-2</v>
      </c>
      <c r="P27" s="71">
        <f>'PSoC Chart'!D3</f>
        <v>3.5984000000000002E-2</v>
      </c>
      <c r="Q27" s="71">
        <f>'PSoC Chart'!E3</f>
        <v>4.264834159061278E-2</v>
      </c>
      <c r="R27" s="71">
        <f>'PSoC Chart'!F3</f>
        <v>4.9312683181225558E-2</v>
      </c>
      <c r="S27" s="71">
        <f>'PSoC Chart'!G3</f>
        <v>5.5966170795306386E-2</v>
      </c>
      <c r="T27" s="71">
        <f>'PSoC Chart'!H3</f>
        <v>6.2630512385919171E-2</v>
      </c>
      <c r="U27" s="71">
        <f>'PSoC Chart'!I3</f>
        <v>6.9283999999999998E-2</v>
      </c>
      <c r="V27" s="71">
        <f>'PSoC Chart'!J3</f>
        <v>7.0000000000000007E-2</v>
      </c>
    </row>
    <row r="28" spans="13:22" x14ac:dyDescent="0.25">
      <c r="M28" t="s">
        <v>61</v>
      </c>
      <c r="N28" s="72">
        <f>'PSoC Chart'!B25</f>
        <v>2.0152153034300794E-2</v>
      </c>
      <c r="O28" s="72">
        <f>'PSoC Chart'!C25</f>
        <v>3.1574000000000005E-2</v>
      </c>
      <c r="P28" s="72">
        <f>'PSoC Chart'!D25</f>
        <v>3.9734000000000005E-2</v>
      </c>
      <c r="Q28" s="72">
        <f>'PSoC Chart'!E25</f>
        <v>4.7893999999999999E-2</v>
      </c>
      <c r="R28" s="72">
        <f>'PSoC Chart'!F25</f>
        <v>5.6054E-2</v>
      </c>
      <c r="S28" s="72">
        <f>'PSoC Chart'!G25</f>
        <v>6.4214000000000021E-2</v>
      </c>
      <c r="T28" s="72">
        <f>'PSoC Chart'!H25</f>
        <v>7.0000000000000007E-2</v>
      </c>
      <c r="U28" s="72">
        <f>'PSoC Chart'!I25</f>
        <v>7.0000000000000007E-2</v>
      </c>
      <c r="V28" s="72">
        <f>'PSoC Chart'!J25</f>
        <v>7.0000000000000007E-2</v>
      </c>
    </row>
    <row r="29" spans="13:22" x14ac:dyDescent="0.25">
      <c r="M29" t="s">
        <v>62</v>
      </c>
      <c r="N29" s="72">
        <f>'PSoC Chart'!B47</f>
        <v>2.0308135638297871E-2</v>
      </c>
      <c r="O29" s="72">
        <f>'PSoC Chart'!C47</f>
        <v>3.3828281914893614E-2</v>
      </c>
      <c r="P29" s="72">
        <f>'PSoC Chart'!D47</f>
        <v>4.3484000000000002E-2</v>
      </c>
      <c r="Q29" s="72">
        <f>'PSoC Chart'!E47</f>
        <v>5.3150422872340432E-2</v>
      </c>
      <c r="R29" s="72">
        <f>'PSoC Chart'!F47</f>
        <v>6.2806140957446813E-2</v>
      </c>
      <c r="S29" s="72">
        <f>'PSoC Chart'!G47</f>
        <v>7.0000000000000007E-2</v>
      </c>
      <c r="T29" s="72">
        <f>'PSoC Chart'!H47</f>
        <v>7.0000000000000007E-2</v>
      </c>
      <c r="U29" s="72">
        <f>'PSoC Chart'!I47</f>
        <v>7.0000000000000007E-2</v>
      </c>
      <c r="V29" s="72">
        <f>'PSoC Chart'!J47</f>
        <v>7.0000000000000007E-2</v>
      </c>
    </row>
    <row r="30" spans="13:22" x14ac:dyDescent="0.25">
      <c r="M30" t="s">
        <v>63</v>
      </c>
      <c r="N30" s="72">
        <f>'PSoC Chart'!B80</f>
        <v>2.0453518486672401E-2</v>
      </c>
      <c r="O30" s="72">
        <f>'PSoC Chart'!C80</f>
        <v>3.6084128976784181E-2</v>
      </c>
      <c r="P30" s="72">
        <f>'PSoC Chart'!D80</f>
        <v>4.7236665520206361E-2</v>
      </c>
      <c r="Q30" s="72">
        <f>'PSoC Chart'!E80</f>
        <v>5.8399864144454E-2</v>
      </c>
      <c r="R30" s="72">
        <f>'PSoC Chart'!F80</f>
        <v>6.9563062768701639E-2</v>
      </c>
      <c r="S30" s="72">
        <f>'PSoC Chart'!G80</f>
        <v>7.0000000000000007E-2</v>
      </c>
      <c r="T30" s="72">
        <f>'PSoC Chart'!H80</f>
        <v>7.0000000000000007E-2</v>
      </c>
      <c r="U30" s="72">
        <f>'PSoC Chart'!I80</f>
        <v>7.0000000000000007E-2</v>
      </c>
      <c r="V30" s="72">
        <f>'PSoC Chart'!J80</f>
        <v>7.0000000000000007E-2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C9A8-CA8B-4CB0-BE15-A7055EF99FC5}">
  <dimension ref="A1:W48"/>
  <sheetViews>
    <sheetView topLeftCell="E1" workbookViewId="0">
      <selection activeCell="C20" sqref="C20"/>
    </sheetView>
  </sheetViews>
  <sheetFormatPr defaultRowHeight="15" x14ac:dyDescent="0.25"/>
  <cols>
    <col min="1" max="1" width="8.85546875" customWidth="1"/>
    <col min="14" max="14" width="22.28515625" bestFit="1" customWidth="1"/>
  </cols>
  <sheetData>
    <row r="1" spans="14:23" x14ac:dyDescent="0.25">
      <c r="N1" s="69" t="s">
        <v>55</v>
      </c>
    </row>
    <row r="2" spans="14:23" x14ac:dyDescent="0.25">
      <c r="N2" s="66" t="s">
        <v>31</v>
      </c>
      <c r="O2" s="66">
        <f>'PSoC Chart'!B2</f>
        <v>0.01</v>
      </c>
      <c r="P2" s="66">
        <f>'PSoC Chart'!C2</f>
        <v>0.15</v>
      </c>
      <c r="Q2" s="66">
        <f>'PSoC Chart'!D2</f>
        <v>0.25</v>
      </c>
      <c r="R2" s="66">
        <f>'PSoC Chart'!E2</f>
        <v>0.35</v>
      </c>
      <c r="S2" s="66">
        <f>'PSoC Chart'!F2</f>
        <v>0.45</v>
      </c>
      <c r="T2" s="66">
        <f>'PSoC Chart'!G2</f>
        <v>0.55000000000000004</v>
      </c>
      <c r="U2" s="66">
        <f>'PSoC Chart'!H2</f>
        <v>0.65</v>
      </c>
      <c r="V2" s="66">
        <f>'PSoC Chart'!I2</f>
        <v>0.75</v>
      </c>
      <c r="W2" s="66">
        <f>'PSoC Chart'!J2</f>
        <v>0.85</v>
      </c>
    </row>
    <row r="3" spans="14:23" x14ac:dyDescent="0.25">
      <c r="N3" t="s">
        <v>18</v>
      </c>
      <c r="O3" s="68">
        <f>'PSoC Chart'!B6</f>
        <v>62</v>
      </c>
      <c r="P3" s="68">
        <f>'PSoC Chart'!C6</f>
        <v>921</v>
      </c>
      <c r="Q3" s="68">
        <f>'PSoC Chart'!D6</f>
        <v>1534</v>
      </c>
      <c r="R3" s="68">
        <f>'PSoC Chart'!E6</f>
        <v>2148</v>
      </c>
      <c r="S3" s="68">
        <f>'PSoC Chart'!F6</f>
        <v>2762</v>
      </c>
      <c r="T3" s="68">
        <f>'PSoC Chart'!G6</f>
        <v>3375</v>
      </c>
      <c r="U3" s="68">
        <f>'PSoC Chart'!H6</f>
        <v>3989</v>
      </c>
      <c r="V3" s="68">
        <f>'PSoC Chart'!I6</f>
        <v>4602</v>
      </c>
      <c r="W3" s="68">
        <f>'PSoC Chart'!J6</f>
        <v>5216</v>
      </c>
    </row>
    <row r="4" spans="14:23" x14ac:dyDescent="0.25">
      <c r="N4" t="s">
        <v>64</v>
      </c>
      <c r="O4" s="68">
        <f>'PSoC Chart'!B12</f>
        <v>1</v>
      </c>
      <c r="P4" s="68">
        <f>'PSoC Chart'!C12</f>
        <v>27</v>
      </c>
      <c r="Q4" s="68">
        <f>'PSoC Chart'!D12</f>
        <v>55</v>
      </c>
      <c r="R4" s="68">
        <f>'PSoC Chart'!E12</f>
        <v>92</v>
      </c>
      <c r="S4" s="68">
        <f>'PSoC Chart'!F12</f>
        <v>136</v>
      </c>
      <c r="T4" s="68">
        <f>'PSoC Chart'!G12</f>
        <v>189</v>
      </c>
      <c r="U4" s="68">
        <f>'PSoC Chart'!H12</f>
        <v>250</v>
      </c>
      <c r="V4" s="68">
        <f>'PSoC Chart'!I12</f>
        <v>319</v>
      </c>
      <c r="W4" s="68">
        <f>'PSoC Chart'!J12</f>
        <v>365</v>
      </c>
    </row>
    <row r="5" spans="14:23" x14ac:dyDescent="0.25">
      <c r="O5" s="67"/>
      <c r="P5" s="67"/>
      <c r="Q5" s="67"/>
      <c r="R5" s="67"/>
      <c r="S5" s="67"/>
      <c r="T5" s="67"/>
      <c r="U5" s="67"/>
      <c r="V5" s="67"/>
      <c r="W5" s="67"/>
    </row>
    <row r="22" spans="1:23" x14ac:dyDescent="0.25">
      <c r="N22" s="69" t="s">
        <v>56</v>
      </c>
    </row>
    <row r="23" spans="1:23" x14ac:dyDescent="0.25">
      <c r="N23" s="66" t="s">
        <v>31</v>
      </c>
      <c r="O23" s="66">
        <f>'PSoC Chart'!B2</f>
        <v>0.01</v>
      </c>
      <c r="P23" s="66">
        <f>'PSoC Chart'!C2</f>
        <v>0.15</v>
      </c>
      <c r="Q23" s="66">
        <f>'PSoC Chart'!D2</f>
        <v>0.25</v>
      </c>
      <c r="R23" s="66">
        <f>'PSoC Chart'!E2</f>
        <v>0.35</v>
      </c>
      <c r="S23" s="66">
        <f>'PSoC Chart'!F2</f>
        <v>0.45</v>
      </c>
      <c r="T23" s="66">
        <f>'PSoC Chart'!G2</f>
        <v>0.55000000000000004</v>
      </c>
      <c r="U23" s="66">
        <f>'PSoC Chart'!H2</f>
        <v>0.65</v>
      </c>
      <c r="V23" s="66">
        <f>'PSoC Chart'!I2</f>
        <v>0.75</v>
      </c>
      <c r="W23" s="66">
        <f>'PSoC Chart'!J2</f>
        <v>0.85</v>
      </c>
    </row>
    <row r="24" spans="1:23" x14ac:dyDescent="0.25">
      <c r="N24" t="s">
        <v>65</v>
      </c>
      <c r="O24" s="68" cm="1">
        <f t="array" ref="O24:W24">'PSoC Chart'!B15:J15</f>
        <v>76</v>
      </c>
      <c r="P24" s="68">
        <v>1137</v>
      </c>
      <c r="Q24" s="68">
        <v>1895</v>
      </c>
      <c r="R24" s="68">
        <v>2653</v>
      </c>
      <c r="S24" s="68">
        <v>3411</v>
      </c>
      <c r="T24" s="68">
        <v>4169</v>
      </c>
      <c r="U24" s="68">
        <v>4927</v>
      </c>
      <c r="V24" s="68">
        <v>5685</v>
      </c>
      <c r="W24" s="68">
        <v>6443</v>
      </c>
    </row>
    <row r="25" spans="1:23" x14ac:dyDescent="0.25">
      <c r="N25" t="s">
        <v>64</v>
      </c>
      <c r="O25" s="68">
        <f>'PSoC Chart'!B27</f>
        <v>2</v>
      </c>
      <c r="P25" s="68">
        <f>'PSoC Chart'!C27</f>
        <v>33</v>
      </c>
      <c r="Q25" s="68">
        <f>'PSoC Chart'!D27</f>
        <v>68</v>
      </c>
      <c r="R25" s="68">
        <f>'PSoC Chart'!E27</f>
        <v>113</v>
      </c>
      <c r="S25" s="68">
        <f>'PSoC Chart'!F27</f>
        <v>168</v>
      </c>
      <c r="T25" s="68">
        <f>'PSoC Chart'!G27</f>
        <v>233</v>
      </c>
      <c r="U25" s="68">
        <f>'PSoC Chart'!H27</f>
        <v>309</v>
      </c>
      <c r="V25" s="68">
        <f>'PSoC Chart'!I27</f>
        <v>394</v>
      </c>
      <c r="W25" s="68">
        <f>'PSoC Chart'!J27</f>
        <v>451</v>
      </c>
    </row>
    <row r="26" spans="1:23" x14ac:dyDescent="0.25">
      <c r="N26" t="s">
        <v>66</v>
      </c>
      <c r="O26" s="68">
        <f>'PSoC Chart'!B29</f>
        <v>2</v>
      </c>
      <c r="P26" s="68">
        <f>'PSoC Chart'!C29</f>
        <v>36</v>
      </c>
      <c r="Q26" s="68">
        <f>'PSoC Chart'!D29</f>
        <v>75</v>
      </c>
      <c r="R26" s="68">
        <f>'PSoC Chart'!E29</f>
        <v>127</v>
      </c>
      <c r="S26" s="68">
        <f>'PSoC Chart'!F29</f>
        <v>191</v>
      </c>
      <c r="T26" s="68">
        <f>'PSoC Chart'!G29</f>
        <v>268</v>
      </c>
      <c r="U26" s="68">
        <f>'PSoC Chart'!H29</f>
        <v>345</v>
      </c>
      <c r="V26" s="68">
        <f>'PSoC Chart'!I29</f>
        <v>398</v>
      </c>
      <c r="W26" s="68">
        <f>'PSoC Chart'!J29</f>
        <v>451</v>
      </c>
    </row>
    <row r="27" spans="1:23" x14ac:dyDescent="0.25">
      <c r="A27" s="69"/>
    </row>
    <row r="43" spans="14:23" x14ac:dyDescent="0.25">
      <c r="N43" s="69" t="s">
        <v>95</v>
      </c>
    </row>
    <row r="44" spans="14:23" x14ac:dyDescent="0.25">
      <c r="N44" t="s">
        <v>31</v>
      </c>
      <c r="O44" s="97">
        <f>'PSoC Chart'!B2</f>
        <v>0.01</v>
      </c>
      <c r="P44" s="97">
        <f>'PSoC Chart'!C2</f>
        <v>0.15</v>
      </c>
      <c r="Q44" s="97">
        <f>'PSoC Chart'!D2</f>
        <v>0.25</v>
      </c>
      <c r="R44" s="97">
        <f>'PSoC Chart'!E2</f>
        <v>0.35</v>
      </c>
      <c r="S44" s="97">
        <f>'PSoC Chart'!F2</f>
        <v>0.45</v>
      </c>
      <c r="T44" s="97">
        <f>'PSoC Chart'!G2</f>
        <v>0.55000000000000004</v>
      </c>
      <c r="U44" s="97">
        <f>'PSoC Chart'!H2</f>
        <v>0.65</v>
      </c>
      <c r="V44" s="97">
        <f>'PSoC Chart'!I2</f>
        <v>0.75</v>
      </c>
      <c r="W44" s="97">
        <f>'PSoC Chart'!J2</f>
        <v>0.85</v>
      </c>
    </row>
    <row r="45" spans="14:23" x14ac:dyDescent="0.25">
      <c r="N45" t="s">
        <v>65</v>
      </c>
      <c r="O45" s="68">
        <f>'PSoC Chart'!B32</f>
        <v>91</v>
      </c>
      <c r="P45" s="68">
        <f>'PSoC Chart'!C32</f>
        <v>1354</v>
      </c>
      <c r="Q45" s="68">
        <f>'PSoC Chart'!D32</f>
        <v>2256</v>
      </c>
      <c r="R45" s="68">
        <f>'PSoC Chart'!E32</f>
        <v>3159</v>
      </c>
      <c r="S45" s="68">
        <f>'PSoC Chart'!F32</f>
        <v>4061</v>
      </c>
      <c r="T45" s="68">
        <f>'PSoC Chart'!G32</f>
        <v>4964</v>
      </c>
      <c r="U45" s="68">
        <f>'PSoC Chart'!H32</f>
        <v>5866</v>
      </c>
      <c r="V45" s="68">
        <f>'PSoC Chart'!I32</f>
        <v>6768</v>
      </c>
      <c r="W45" s="68">
        <f>'PSoC Chart'!J32</f>
        <v>7670</v>
      </c>
    </row>
    <row r="46" spans="14:23" x14ac:dyDescent="0.25">
      <c r="N46" t="s">
        <v>64</v>
      </c>
      <c r="O46" s="68">
        <f>'PSoC Chart'!B53</f>
        <v>2</v>
      </c>
      <c r="P46" s="68">
        <f>'PSoC Chart'!C53</f>
        <v>40</v>
      </c>
      <c r="Q46" s="68">
        <f>'PSoC Chart'!D53</f>
        <v>81</v>
      </c>
      <c r="R46" s="68">
        <f>'PSoC Chart'!E53</f>
        <v>135</v>
      </c>
      <c r="S46" s="68">
        <f>'PSoC Chart'!F53</f>
        <v>200</v>
      </c>
      <c r="T46" s="68">
        <f>'PSoC Chart'!G53</f>
        <v>278</v>
      </c>
      <c r="U46" s="68">
        <f>'PSoC Chart'!H53</f>
        <v>367</v>
      </c>
      <c r="V46" s="68">
        <f>'PSoC Chart'!I53</f>
        <v>469</v>
      </c>
      <c r="W46" s="68">
        <f>'PSoC Chart'!J53</f>
        <v>537</v>
      </c>
    </row>
    <row r="47" spans="14:23" x14ac:dyDescent="0.25">
      <c r="N47" t="s">
        <v>66</v>
      </c>
      <c r="O47" s="68">
        <f>'PSoC Chart'!B55</f>
        <v>2</v>
      </c>
      <c r="P47" s="68">
        <f>'PSoC Chart'!C55</f>
        <v>43</v>
      </c>
      <c r="Q47" s="68">
        <f>'PSoC Chart'!D55</f>
        <v>90</v>
      </c>
      <c r="R47" s="68">
        <f>'PSoC Chart'!E55</f>
        <v>151</v>
      </c>
      <c r="S47" s="68">
        <f>'PSoC Chart'!F55</f>
        <v>228</v>
      </c>
      <c r="T47" s="68">
        <f>'PSoC Chart'!G55</f>
        <v>319</v>
      </c>
      <c r="U47" s="68">
        <f>'PSoC Chart'!H55</f>
        <v>411</v>
      </c>
      <c r="V47" s="68">
        <f>'PSoC Chart'!I55</f>
        <v>474</v>
      </c>
      <c r="W47" s="68">
        <f>'PSoC Chart'!J55</f>
        <v>537</v>
      </c>
    </row>
    <row r="48" spans="14:23" x14ac:dyDescent="0.25">
      <c r="N48" t="s">
        <v>92</v>
      </c>
      <c r="O48" s="68">
        <f>'PSoC Chart'!B57</f>
        <v>2</v>
      </c>
      <c r="P48" s="68">
        <f>'PSoC Chart'!C57</f>
        <v>46</v>
      </c>
      <c r="Q48" s="68">
        <f>'PSoC Chart'!D57</f>
        <v>98</v>
      </c>
      <c r="R48" s="68">
        <f>'PSoC Chart'!E57</f>
        <v>168</v>
      </c>
      <c r="S48" s="68">
        <f>'PSoC Chart'!F57</f>
        <v>255</v>
      </c>
      <c r="T48" s="68">
        <f>'PSoC Chart'!G57</f>
        <v>347</v>
      </c>
      <c r="U48" s="68">
        <f>'PSoC Chart'!H57</f>
        <v>411</v>
      </c>
      <c r="V48" s="68">
        <f>'PSoC Chart'!I57</f>
        <v>474</v>
      </c>
      <c r="W48" s="68">
        <f>'PSoC Chart'!J57</f>
        <v>537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5277-49EA-476E-8396-D990C8D14E20}">
  <dimension ref="A1:O31"/>
  <sheetViews>
    <sheetView workbookViewId="0">
      <selection activeCell="C20" sqref="C20"/>
    </sheetView>
  </sheetViews>
  <sheetFormatPr defaultColWidth="8.85546875" defaultRowHeight="15" x14ac:dyDescent="0.25"/>
  <cols>
    <col min="1" max="1" width="20.28515625" style="1" bestFit="1" customWidth="1"/>
    <col min="2" max="2" width="13.28515625" style="1" customWidth="1"/>
    <col min="3" max="3" width="4.7109375" style="4" customWidth="1"/>
    <col min="4" max="4" width="9.5703125" style="4" customWidth="1"/>
    <col min="5" max="6" width="8.85546875" style="4" customWidth="1"/>
    <col min="7" max="7" width="14.140625" style="4" bestFit="1" customWidth="1"/>
    <col min="8" max="16384" width="8.85546875" style="1"/>
  </cols>
  <sheetData>
    <row r="1" spans="1:15" x14ac:dyDescent="0.25">
      <c r="A1" s="3" t="s">
        <v>22</v>
      </c>
      <c r="D1" s="4" t="s">
        <v>23</v>
      </c>
      <c r="G1" s="4" t="s">
        <v>24</v>
      </c>
    </row>
    <row r="2" spans="1:15" x14ac:dyDescent="0.25">
      <c r="A2" s="40" t="s">
        <v>25</v>
      </c>
      <c r="B2" s="41">
        <f>'FFY26 PSoC Calculator'!B2</f>
        <v>0</v>
      </c>
      <c r="G2" s="4" t="s">
        <v>26</v>
      </c>
    </row>
    <row r="3" spans="1:15" x14ac:dyDescent="0.25">
      <c r="A3" s="40" t="s">
        <v>27</v>
      </c>
      <c r="B3" s="41">
        <f>'FFY26 PSoC Calculator'!B3</f>
        <v>0</v>
      </c>
      <c r="G3" s="4" t="s">
        <v>28</v>
      </c>
    </row>
    <row r="4" spans="1:15" x14ac:dyDescent="0.25">
      <c r="A4" s="40" t="s">
        <v>29</v>
      </c>
      <c r="B4" s="41">
        <f>'FFY26 PSoC Calculator'!B4</f>
        <v>0</v>
      </c>
      <c r="C4" s="11" t="str">
        <f>IF(OR(B2&lt;B4,B2=B4),"ERROR - Children in care must be less than the family size."," ")</f>
        <v>ERROR - Children in care must be less than the family size.</v>
      </c>
      <c r="G4" s="4" t="s">
        <v>30</v>
      </c>
    </row>
    <row r="5" spans="1:15" x14ac:dyDescent="0.25">
      <c r="A5" s="40" t="s">
        <v>31</v>
      </c>
      <c r="B5" s="42">
        <f>IFERROR(ROUNDDOWN(B3/(VLOOKUP(B2,SMI[],2,FALSE)),4),0)</f>
        <v>0</v>
      </c>
      <c r="E5" s="7"/>
      <c r="G5" s="8" t="s">
        <v>32</v>
      </c>
    </row>
    <row r="6" spans="1:15" x14ac:dyDescent="0.25">
      <c r="A6" s="40" t="s">
        <v>33</v>
      </c>
      <c r="B6" s="43" t="str">
        <f>IF(B5&gt;0.85004,"No","Yes")</f>
        <v>Yes</v>
      </c>
      <c r="G6" s="8" t="s">
        <v>34</v>
      </c>
    </row>
    <row r="7" spans="1:15" x14ac:dyDescent="0.25">
      <c r="A7" s="40" t="s">
        <v>35</v>
      </c>
      <c r="B7" s="42">
        <f>IF(B6="no","",F7)</f>
        <v>0</v>
      </c>
      <c r="D7" s="54">
        <f>IF(B5&lt;0.01,0,(((B5*100)-1)*0.000666)+0.02)</f>
        <v>0</v>
      </c>
      <c r="E7" s="54">
        <f>IF(B6="No","",D7)</f>
        <v>0</v>
      </c>
      <c r="F7" s="54">
        <f>IF(D7&gt;0.07,0.07,E7)</f>
        <v>0</v>
      </c>
      <c r="G7" s="9" t="s">
        <v>36</v>
      </c>
      <c r="H7" s="2"/>
      <c r="I7" s="2"/>
      <c r="J7" s="2"/>
      <c r="O7" s="10"/>
    </row>
    <row r="8" spans="1:15" x14ac:dyDescent="0.25">
      <c r="A8" s="40" t="s">
        <v>37</v>
      </c>
      <c r="B8" s="45">
        <f>IF(B6="Yes",(ROUND(B7*B3,0)),0)</f>
        <v>0</v>
      </c>
      <c r="D8" s="5"/>
      <c r="G8" s="4" t="s">
        <v>38</v>
      </c>
      <c r="H8" s="2"/>
    </row>
    <row r="9" spans="1:15" x14ac:dyDescent="0.25">
      <c r="A9" s="40" t="s">
        <v>39</v>
      </c>
      <c r="B9" s="46">
        <f>IF(B6="no","",(B4-1))</f>
        <v>-1</v>
      </c>
      <c r="G9" s="4" t="s">
        <v>40</v>
      </c>
    </row>
    <row r="10" spans="1:15" x14ac:dyDescent="0.25">
      <c r="A10" s="40" t="s">
        <v>41</v>
      </c>
      <c r="B10" s="44">
        <f>IF(B6="no","",D10)</f>
        <v>0</v>
      </c>
      <c r="D10" s="4">
        <f>IF(F7=0.07,0,(B5*0.015)*B9)</f>
        <v>0</v>
      </c>
      <c r="E10" s="4" t="str">
        <f>IF(B7+B10&gt;0.07,"Y","N")</f>
        <v>N</v>
      </c>
      <c r="F10" s="4">
        <f>IF(E10="N",D10,0.07)</f>
        <v>0</v>
      </c>
      <c r="G10" s="9" t="s">
        <v>42</v>
      </c>
    </row>
    <row r="11" spans="1:15" x14ac:dyDescent="0.25">
      <c r="A11" s="40" t="s">
        <v>43</v>
      </c>
      <c r="B11" s="47">
        <f>IF(B6="no","",(B13-B8))</f>
        <v>0</v>
      </c>
      <c r="G11" s="9" t="s">
        <v>44</v>
      </c>
    </row>
    <row r="12" spans="1:15" x14ac:dyDescent="0.25">
      <c r="A12" s="40" t="s">
        <v>45</v>
      </c>
      <c r="B12" s="42">
        <f>IF(B6="no","",E12)</f>
        <v>0</v>
      </c>
      <c r="D12" s="6">
        <f>IF(B6="no","",(B7+B10))</f>
        <v>0</v>
      </c>
      <c r="E12" s="4">
        <f>IF(D12&gt;0.07,0.07,D12)</f>
        <v>0</v>
      </c>
      <c r="G12" s="9" t="s">
        <v>46</v>
      </c>
    </row>
    <row r="13" spans="1:15" x14ac:dyDescent="0.25">
      <c r="A13" s="40" t="s">
        <v>47</v>
      </c>
      <c r="B13" s="47">
        <f>IF(B6="no","",(ROUND(B12*B3,0)))</f>
        <v>0</v>
      </c>
      <c r="G13" s="9" t="s">
        <v>48</v>
      </c>
    </row>
    <row r="14" spans="1:15" x14ac:dyDescent="0.25">
      <c r="B14" s="2"/>
    </row>
    <row r="19" spans="1:8" x14ac:dyDescent="0.25">
      <c r="G19" s="65"/>
    </row>
    <row r="21" spans="1:8" x14ac:dyDescent="0.25">
      <c r="A21" s="1">
        <f>IFERROR(ROUND(B3/(VLOOKUP(B2,SMI[],2,FALSE)),4),0)</f>
        <v>0</v>
      </c>
    </row>
    <row r="25" spans="1:8" x14ac:dyDescent="0.25">
      <c r="H25" s="10">
        <v>6.6600000000000003E-4</v>
      </c>
    </row>
    <row r="26" spans="1:8" x14ac:dyDescent="0.25">
      <c r="H26" s="10">
        <v>1.4999999999999999E-2</v>
      </c>
    </row>
    <row r="30" spans="1:8" x14ac:dyDescent="0.25">
      <c r="H30" s="10">
        <v>6.6600000000000003E-4</v>
      </c>
    </row>
    <row r="31" spans="1:8" x14ac:dyDescent="0.25">
      <c r="H31" s="50"/>
    </row>
  </sheetData>
  <sheetProtection sheet="1" objects="1" scenarios="1"/>
  <conditionalFormatting sqref="B6">
    <cfRule type="containsText" dxfId="0" priority="1" operator="containsText" text="No">
      <formula>NOT(ISERROR(SEARCH("No",B6)))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FA45-2D5A-45AE-AF21-C6F75D72BA4A}">
  <dimension ref="A1:H16"/>
  <sheetViews>
    <sheetView workbookViewId="0">
      <selection activeCell="C20" sqref="C20"/>
    </sheetView>
  </sheetViews>
  <sheetFormatPr defaultRowHeight="15" x14ac:dyDescent="0.25"/>
  <cols>
    <col min="1" max="1" width="11.7109375" customWidth="1"/>
    <col min="2" max="2" width="23.28515625" customWidth="1"/>
    <col min="5" max="5" width="12" bestFit="1" customWidth="1"/>
    <col min="6" max="6" width="17.7109375" customWidth="1"/>
    <col min="8" max="8" width="15.5703125" bestFit="1" customWidth="1"/>
  </cols>
  <sheetData>
    <row r="1" spans="1:8" x14ac:dyDescent="0.25">
      <c r="A1" t="s">
        <v>49</v>
      </c>
      <c r="B1" t="s">
        <v>50</v>
      </c>
      <c r="H1" s="146" t="s">
        <v>105</v>
      </c>
    </row>
    <row r="2" spans="1:8" x14ac:dyDescent="0.25">
      <c r="A2">
        <v>1</v>
      </c>
      <c r="B2" s="52">
        <f>F2</f>
        <v>4692</v>
      </c>
      <c r="E2" s="145">
        <f>H2/12</f>
        <v>4692.3066666666664</v>
      </c>
      <c r="F2" s="145">
        <f>ROUND(E2,0)</f>
        <v>4692</v>
      </c>
      <c r="H2" s="147">
        <v>56307.68</v>
      </c>
    </row>
    <row r="3" spans="1:8" x14ac:dyDescent="0.25">
      <c r="A3">
        <v>2</v>
      </c>
      <c r="B3" s="52">
        <f t="shared" ref="B3:B16" si="0">F3</f>
        <v>6136</v>
      </c>
      <c r="E3" s="145">
        <f t="shared" ref="E3:E16" si="1">H3/12</f>
        <v>6136.0933333333342</v>
      </c>
      <c r="F3" s="145">
        <f t="shared" ref="F3:F16" si="2">ROUND(E3,0)</f>
        <v>6136</v>
      </c>
      <c r="H3" s="147">
        <v>73633.12000000001</v>
      </c>
    </row>
    <row r="4" spans="1:8" x14ac:dyDescent="0.25">
      <c r="A4">
        <v>3</v>
      </c>
      <c r="B4" s="52">
        <f t="shared" si="0"/>
        <v>7580</v>
      </c>
      <c r="E4" s="145">
        <f t="shared" si="1"/>
        <v>7579.88</v>
      </c>
      <c r="F4" s="145">
        <f t="shared" si="2"/>
        <v>7580</v>
      </c>
      <c r="H4" s="147">
        <v>90958.56</v>
      </c>
    </row>
    <row r="5" spans="1:8" x14ac:dyDescent="0.25">
      <c r="A5">
        <v>4</v>
      </c>
      <c r="B5" s="52">
        <f t="shared" si="0"/>
        <v>9024</v>
      </c>
      <c r="E5" s="145">
        <f t="shared" si="1"/>
        <v>9023.6666666666661</v>
      </c>
      <c r="F5" s="145">
        <f t="shared" si="2"/>
        <v>9024</v>
      </c>
      <c r="H5" s="147">
        <v>108284</v>
      </c>
    </row>
    <row r="6" spans="1:8" x14ac:dyDescent="0.25">
      <c r="A6">
        <v>5</v>
      </c>
      <c r="B6" s="52">
        <f t="shared" si="0"/>
        <v>10467</v>
      </c>
      <c r="E6" s="145">
        <f t="shared" si="1"/>
        <v>10467.453333333333</v>
      </c>
      <c r="F6" s="145">
        <f t="shared" si="2"/>
        <v>10467</v>
      </c>
      <c r="H6" s="147">
        <v>125609.43999999999</v>
      </c>
    </row>
    <row r="7" spans="1:8" x14ac:dyDescent="0.25">
      <c r="A7">
        <v>6</v>
      </c>
      <c r="B7" s="52">
        <f t="shared" si="0"/>
        <v>11911</v>
      </c>
      <c r="E7" s="145">
        <f t="shared" si="1"/>
        <v>11911.24</v>
      </c>
      <c r="F7" s="145">
        <f t="shared" si="2"/>
        <v>11911</v>
      </c>
      <c r="H7" s="147">
        <v>142934.88</v>
      </c>
    </row>
    <row r="8" spans="1:8" x14ac:dyDescent="0.25">
      <c r="A8">
        <v>7</v>
      </c>
      <c r="B8" s="52">
        <f t="shared" si="0"/>
        <v>12182</v>
      </c>
      <c r="E8" s="145">
        <f t="shared" si="1"/>
        <v>12181.950000000003</v>
      </c>
      <c r="F8" s="145">
        <f t="shared" si="2"/>
        <v>12182</v>
      </c>
      <c r="H8" s="147">
        <v>146183.40000000002</v>
      </c>
    </row>
    <row r="9" spans="1:8" x14ac:dyDescent="0.25">
      <c r="A9">
        <v>8</v>
      </c>
      <c r="B9" s="52">
        <f t="shared" si="0"/>
        <v>12453</v>
      </c>
      <c r="E9" s="145">
        <f t="shared" si="1"/>
        <v>12452.660000000002</v>
      </c>
      <c r="F9" s="145">
        <f t="shared" si="2"/>
        <v>12453</v>
      </c>
      <c r="H9" s="147">
        <v>149431.92000000001</v>
      </c>
    </row>
    <row r="10" spans="1:8" x14ac:dyDescent="0.25">
      <c r="A10">
        <v>9</v>
      </c>
      <c r="B10" s="52">
        <f t="shared" si="0"/>
        <v>12723</v>
      </c>
      <c r="E10" s="145">
        <f t="shared" si="1"/>
        <v>12723.37</v>
      </c>
      <c r="F10" s="145">
        <f t="shared" si="2"/>
        <v>12723</v>
      </c>
      <c r="H10" s="147">
        <v>152680.44</v>
      </c>
    </row>
    <row r="11" spans="1:8" x14ac:dyDescent="0.25">
      <c r="A11">
        <v>10</v>
      </c>
      <c r="B11" s="52">
        <f t="shared" si="0"/>
        <v>12994</v>
      </c>
      <c r="E11" s="145">
        <f t="shared" si="1"/>
        <v>12994.080000000002</v>
      </c>
      <c r="F11" s="145">
        <f t="shared" si="2"/>
        <v>12994</v>
      </c>
      <c r="H11" s="147">
        <v>155928.96000000002</v>
      </c>
    </row>
    <row r="12" spans="1:8" x14ac:dyDescent="0.25">
      <c r="A12">
        <v>11</v>
      </c>
      <c r="B12" s="52">
        <f t="shared" si="0"/>
        <v>13265</v>
      </c>
      <c r="E12" s="145">
        <f t="shared" si="1"/>
        <v>13264.79</v>
      </c>
      <c r="F12" s="145">
        <f t="shared" si="2"/>
        <v>13265</v>
      </c>
      <c r="H12" s="147">
        <v>159177.48000000001</v>
      </c>
    </row>
    <row r="13" spans="1:8" x14ac:dyDescent="0.25">
      <c r="A13">
        <v>12</v>
      </c>
      <c r="B13" s="52">
        <f t="shared" si="0"/>
        <v>13536</v>
      </c>
      <c r="E13" s="145">
        <f t="shared" si="1"/>
        <v>13535.500000000002</v>
      </c>
      <c r="F13" s="145">
        <f t="shared" si="2"/>
        <v>13536</v>
      </c>
      <c r="H13" s="147">
        <v>162426.00000000003</v>
      </c>
    </row>
    <row r="14" spans="1:8" x14ac:dyDescent="0.25">
      <c r="A14">
        <v>13</v>
      </c>
      <c r="B14" s="52">
        <f t="shared" si="0"/>
        <v>13806</v>
      </c>
      <c r="E14" s="145">
        <f t="shared" si="1"/>
        <v>13806.210000000001</v>
      </c>
      <c r="F14" s="145">
        <f t="shared" si="2"/>
        <v>13806</v>
      </c>
      <c r="H14" s="147">
        <v>165674.52000000002</v>
      </c>
    </row>
    <row r="15" spans="1:8" x14ac:dyDescent="0.25">
      <c r="A15">
        <v>14</v>
      </c>
      <c r="B15" s="52">
        <f t="shared" si="0"/>
        <v>14077</v>
      </c>
      <c r="E15" s="145">
        <f t="shared" si="1"/>
        <v>14076.920000000004</v>
      </c>
      <c r="F15" s="145">
        <f t="shared" si="2"/>
        <v>14077</v>
      </c>
      <c r="H15" s="147">
        <v>168923.04000000004</v>
      </c>
    </row>
    <row r="16" spans="1:8" x14ac:dyDescent="0.25">
      <c r="A16">
        <v>15</v>
      </c>
      <c r="B16" s="52">
        <f t="shared" si="0"/>
        <v>14348</v>
      </c>
      <c r="E16" s="145">
        <f t="shared" si="1"/>
        <v>14347.630000000003</v>
      </c>
      <c r="F16" s="145">
        <f t="shared" si="2"/>
        <v>14348</v>
      </c>
      <c r="H16" s="147">
        <v>172171.56000000003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33" ma:contentTypeDescription="Create a new document." ma:contentTypeScope="" ma:versionID="7ae85a6553a7588aa572ee3f34cdb34a">
  <xsd:schema xmlns:xsd="http://www.w3.org/2001/XMLSchema" xmlns:xs="http://www.w3.org/2001/XMLSchema" xmlns:p="http://schemas.microsoft.com/office/2006/metadata/properties" xmlns:ns1="474a6763-ac05-4e28-9ae1-4058cad3e94b" xmlns:ns2="http://schemas.microsoft.com/sharepoint/v3" xmlns:ns3="d75cc3ea-6d34-48b9-955f-209672471296" targetNamespace="http://schemas.microsoft.com/office/2006/metadata/properties" ma:root="true" ma:fieldsID="c9934313f942d14bd24d0391a9bb3285" ns1:_="" ns2:_="" ns3:_="">
    <xsd:import namespace="474a6763-ac05-4e28-9ae1-4058cad3e94b"/>
    <xsd:import namespace="http://schemas.microsoft.com/sharepoint/v3"/>
    <xsd:import namespace="d75cc3ea-6d34-48b9-955f-209672471296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  <xsd:element ref="ns1:lcf76f155ced4ddcb4097134ff3c332f" minOccurs="0"/>
                <xsd:element ref="ns3:TaxCatchAll" minOccurs="0"/>
                <xsd:element ref="ns1:MediaServiceDateTaken" minOccurs="0"/>
                <xsd:element ref="ns1:MediaServiceObjectDetectorVersion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Web_x0020_Page" minOccurs="0"/>
                <xsd:element ref="ns1:MediaServiceSearchProperties" minOccurs="0"/>
                <xsd:element ref="ns2:_ip_UnifiedCompliancePolicyProperties" minOccurs="0"/>
                <xsd:element ref="ns2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Image"/>
          <xsd:enumeration value="Pages"/>
        </xsd:restriction>
      </xsd:simpleType>
    </xsd:element>
    <xsd:element name="URL_x0020_Node" ma:index="3" nillable="true" ma:displayName="URL Node (Old)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 (Old)" ma:format="Dropdown" ma:internalName="URL_x0020_Web_x0020_Page">
      <xsd:simpleType>
        <xsd:restriction base="dms:Choice">
          <xsd:enumeration value="Unknown"/>
        </xsd:restriction>
      </xsd:simpleType>
    </xsd:element>
    <xsd:element name="Other_x0020_URL_x0020_Web_x0020_Page" ma:index="5" nillable="true" ma:displayName="Other URL Web Page (Old)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d from Web" ma:default="0" ma:format="Dropdown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 (Old)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  <xsd:enumeration value="Data and Report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Web_x0020_Page" ma:index="26" nillable="true" ma:displayName="Web Page" ma:format="Dropdown" ma:internalName="Web_x0020_P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ild Care &amp; Early Learning Program"/>
                    <xsd:enumeration value="Child Care by the Numbers"/>
                    <xsd:enumeration value="Child Care Data, Reports &amp; Plans"/>
                    <xsd:enumeration value="Child Care Guide"/>
                    <xsd:enumeration value="Child Care Information for Parents"/>
                    <xsd:enumeration value="Child Care Information for Providers"/>
                    <xsd:enumeration value="Child Care Investments Partnership"/>
                    <xsd:enumeration value="Child Care Relief Funding 2022"/>
                    <xsd:enumeration value="Child Care Services &amp; Children with Disabilities"/>
                    <xsd:enumeration value="Child Care Stimulus Resources"/>
                    <xsd:enumeration value="Find Child Care"/>
                    <xsd:enumeration value="Free Child Care Business Resources"/>
                    <xsd:enumeration value="Shared Services Alliances"/>
                    <xsd:enumeration value="Texas Preschool Development Grant Birth Through 5 (PDG B-5)"/>
                    <xsd:enumeration value="Texas Rising Star Program"/>
                    <xsd:enumeration value="Texas Rising Star Workgroup - 2019"/>
                    <xsd:enumeration value="Texas Rising Star Workgroup - 2023"/>
                    <xsd:enumeration value="TWC Prekindergarten Partnerships"/>
                    <xsd:enumeration value="Work-Based Learning Staffing Initiatives"/>
                    <xsd:enumeration value="Unknown"/>
                  </xsd:restriction>
                </xsd:simpleType>
              </xsd:element>
            </xsd:sequence>
          </xsd:extension>
        </xsd:complexContent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cc3ea-6d34-48b9-955f-20967247129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c2949c-22a8-4d1d-9a8c-b3c5bd09e7e6}" ma:internalName="TaxCatchAll" ma:showField="CatchAllData" ma:web="d75cc3ea-6d34-48b9-955f-209672471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75cc3ea-6d34-48b9-955f-209672471296" xsi:nil="true"/>
    <lcf76f155ced4ddcb4097134ff3c332f xmlns="474a6763-ac05-4e28-9ae1-4058cad3e94b">
      <Terms xmlns="http://schemas.microsoft.com/office/infopath/2007/PartnerControls"/>
    </lcf76f155ced4ddcb4097134ff3c332f>
    <MediaServiceMetadata xmlns="474a6763-ac05-4e28-9ae1-4058cad3e94b" xsi:nil="true"/>
    <MediaServiceFastMetadata xmlns="474a6763-ac05-4e28-9ae1-4058cad3e94b" xsi:nil="true"/>
    <Other_x0020_URL_x0020_Web_x0020_Page xmlns="474a6763-ac05-4e28-9ae1-4058cad3e94b" xsi:nil="true"/>
    <Web_x0020_Page xmlns="474a6763-ac05-4e28-9ae1-4058cad3e94b" xsi:nil="true"/>
    <Notes0 xmlns="474a6763-ac05-4e28-9ae1-4058cad3e94b" xsi:nil="true"/>
    <Remove_x0020_from_x0020_Web xmlns="474a6763-ac05-4e28-9ae1-4058cad3e94b">false</Remove_x0020_from_x0020_Web>
    <URL_x0020_Web_x0020_Page xmlns="474a6763-ac05-4e28-9ae1-4058cad3e94b" xsi:nil="true"/>
    <Document_x0020_Name xmlns="474a6763-ac05-4e28-9ae1-4058cad3e94b" xsi:nil="true"/>
    <CCEL_x0020_Home_x0020_Page_x0020_Section xmlns="474a6763-ac05-4e28-9ae1-4058cad3e94b" xsi:nil="true"/>
    <URL_x0020_Node xmlns="474a6763-ac05-4e28-9ae1-4058cad3e94b" xsi:nil="true"/>
    <Folder xmlns="474a6763-ac05-4e28-9ae1-4058cad3e94b" xsi:nil="true"/>
  </documentManagement>
</p:properties>
</file>

<file path=customXml/itemProps1.xml><?xml version="1.0" encoding="utf-8"?>
<ds:datastoreItem xmlns:ds="http://schemas.openxmlformats.org/officeDocument/2006/customXml" ds:itemID="{BC13ED9F-003F-4A37-8B5F-AFE1AAAE04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48F14-AF8A-4323-A990-A2364F492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a6763-ac05-4e28-9ae1-4058cad3e94b"/>
    <ds:schemaRef ds:uri="http://schemas.microsoft.com/sharepoint/v3"/>
    <ds:schemaRef ds:uri="d75cc3ea-6d34-48b9-955f-209672471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5EDF2C-99A5-4A6A-AA87-A08F1F91A66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74a6763-ac05-4e28-9ae1-4058cad3e94b"/>
    <ds:schemaRef ds:uri="http://www.w3.org/XML/1998/namespace"/>
    <ds:schemaRef ds:uri="http://schemas.microsoft.com/sharepoint/v3"/>
    <ds:schemaRef ds:uri="http://purl.org/dc/terms/"/>
    <ds:schemaRef ds:uri="http://schemas.microsoft.com/office/infopath/2007/PartnerControls"/>
    <ds:schemaRef ds:uri="d75cc3ea-6d34-48b9-955f-20967247129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FFY26 PSoC Calculator</vt:lpstr>
      <vt:lpstr>PSoC Chart</vt:lpstr>
      <vt:lpstr>Scale Charts</vt:lpstr>
      <vt:lpstr>Income Charts</vt:lpstr>
      <vt:lpstr>Calculations</vt:lpstr>
      <vt:lpstr>SMI</vt:lpstr>
      <vt:lpstr>'PSoC Chart'!Print_Area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Warner,Philip</dc:creator>
  <cp:keywords/>
  <dc:description/>
  <cp:lastModifiedBy>Warner,Philip</cp:lastModifiedBy>
  <cp:revision/>
  <cp:lastPrinted>2025-08-18T19:47:11Z</cp:lastPrinted>
  <dcterms:created xsi:type="dcterms:W3CDTF">2022-09-22T21:23:42Z</dcterms:created>
  <dcterms:modified xsi:type="dcterms:W3CDTF">2025-09-17T16:49:31Z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0x010100E9EA837411ED864B94278B26830B74D5</vt:lpwstr>
  </property>
  <property fmtid="{D5CDD505-2E9C-101B-9397-08002B2CF9AE}" pid="3" name="Project">
    <vt:lpwstr>Parent Share of Cost</vt:lpwstr>
  </property>
  <property fmtid="{D5CDD505-2E9C-101B-9397-08002B2CF9AE}" pid="4" name="Task">
    <vt:lpwstr>182</vt:lpwstr>
  </property>
  <property fmtid="{D5CDD505-2E9C-101B-9397-08002B2CF9AE}" pid="5" name="Policy Doc Type">
    <vt:lpwstr>Discussion Paper</vt:lpwstr>
  </property>
  <property fmtid="{D5CDD505-2E9C-101B-9397-08002B2CF9AE}" pid="6" name="MediaServiceImageTags">
    <vt:lpwstr/>
  </property>
  <property fmtid="{D5CDD505-2E9C-101B-9397-08002B2CF9AE}" pid="7" name="Corrected">
    <vt:bool>false</vt:bool>
  </property>
  <property fmtid="{D5CDD505-2E9C-101B-9397-08002B2CF9AE}" pid="8" name="Order">
    <vt:r8>217600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RecordingLink">
    <vt:lpwstr>, </vt:lpwstr>
  </property>
</Properties>
</file>